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776"/>
  <workbookPr codeName="ThisWorkbook"/>
  <bookViews>
    <workbookView xWindow="65524" yWindow="6612" windowWidth="12120" windowHeight="3276" tabRatio="915" firstSheet="1" activeTab="1"/>
  </bookViews>
  <sheets>
    <sheet name="FERC Revisions @ 12-15-09" sheetId="1" state="hidden" r:id="rId1"/>
    <sheet name="Projected TCOS" sheetId="2" r:id="rId2"/>
    <sheet name="Historic TCOS" sheetId="3" r:id="rId3"/>
    <sheet name="True-UP TCOS" sheetId="4" r:id="rId4"/>
    <sheet name="WS A  - RB Support " sheetId="5" r:id="rId5"/>
    <sheet name="WS B ADIT &amp; ITC" sheetId="6" r:id="rId6"/>
    <sheet name="WS C  - Working Capital" sheetId="7" r:id="rId7"/>
    <sheet name="WS D IPP Credits" sheetId="8" r:id="rId8"/>
    <sheet name="WS E Rev Credits" sheetId="9" r:id="rId9"/>
    <sheet name="WS F Misc Exp" sheetId="10" r:id="rId10"/>
    <sheet name="WS G  State Tax Rate" sheetId="11" r:id="rId11"/>
    <sheet name="WS H-p1 Other Taxes" sheetId="12" r:id="rId12"/>
    <sheet name="WS H-p2 Detail of Tax Amts" sheetId="13" r:id="rId13"/>
    <sheet name="WS I Projected Plant" sheetId="14" r:id="rId14"/>
    <sheet name="WS J PROJECTED RTEP RR" sheetId="15" r:id="rId15"/>
    <sheet name="WS K TRUE-UP RTEP RR" sheetId="16" r:id="rId16"/>
    <sheet name="WS L Cost of Debt" sheetId="17" r:id="rId17"/>
    <sheet name="WS M - Avg Cap Structure" sheetId="18" r:id="rId18"/>
    <sheet name="WS N - Sale of Plant Held" sheetId="19" r:id="rId19"/>
    <sheet name="Worksheet O" sheetId="20" r:id="rId20"/>
    <sheet name="WS P Dep. Rates" sheetId="21" r:id="rId21"/>
    <sheet name="WS Q Cap Structure" sheetId="22" r:id="rId22"/>
  </sheets>
  <externalReferences>
    <externalReference r:id="rId25"/>
    <externalReference r:id="rId26"/>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7">#REF!</definedName>
    <definedName name="allocator">#REF!</definedName>
    <definedName name="allocators" localSheetId="17">#REF!</definedName>
    <definedName name="allocators">#REF!</definedName>
    <definedName name="allocatorsSWP" localSheetId="17">#REF!</definedName>
    <definedName name="allocatorsSWP">#REF!</definedName>
    <definedName name="allocatorSWP1">'[1]SWP TCOS 2008 13 Month'!$I$317:$J$328</definedName>
    <definedName name="APCO">#REF!</definedName>
    <definedName name="APCo_Hist_Allocators" localSheetId="12">#REF!</definedName>
    <definedName name="APCo_Hist_Allocators">'Historic TCOS'!$I$395:$J$403</definedName>
    <definedName name="APCo_Proj_Allocators" localSheetId="12">#REF!</definedName>
    <definedName name="APCo_Proj_Allocators">'Projected TCOS'!$I$376:$J$384</definedName>
    <definedName name="APCo_TU_Allocators" localSheetId="12">#REF!</definedName>
    <definedName name="APCo_TU_Allocators">'True-UP TCOS'!$I$401:$J$409</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'Projected TCOS'!$I$376:$J$384</definedName>
    <definedName name="IM_Allocators" localSheetId="3">'True-UP TCOS'!$I$401:$J$409</definedName>
    <definedName name="IM_Allocators" localSheetId="12">#REF!</definedName>
    <definedName name="IM_Allocators">'Historic TCOS'!$I$395:$J$403</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2">#REF!</definedName>
    <definedName name="M_A">'WS I Projected Plant'!$G$53</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'Projected TCOS'!$J$100</definedName>
    <definedName name="NP_h" localSheetId="3">'True-UP TCOS'!$J$100</definedName>
    <definedName name="NP_h" localSheetId="12">'[2]APCo Historic TCOS'!$J$100</definedName>
    <definedName name="NP_h">'Historic TCOS'!$J$100</definedName>
    <definedName name="NP_h1">#REF!</definedName>
    <definedName name="NPh" localSheetId="1">'Projected TCOS'!$J$100</definedName>
    <definedName name="NPh" localSheetId="3">'True-UP TCOS'!$J$100</definedName>
    <definedName name="NPh" localSheetId="12">#REF!</definedName>
    <definedName name="NPh">'Historic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'FERC Revisions @ 12-15-09'!$A$1:$N$70</definedName>
    <definedName name="_xlnm.Print_Area" localSheetId="2">'Historic TCOS'!$A$1:$L$372</definedName>
    <definedName name="_xlnm.Print_Area" localSheetId="1">'Projected TCOS'!$B$1:$L$375</definedName>
    <definedName name="_xlnm.Print_Area" localSheetId="3">'True-UP TCOS'!$A$1:$L$377</definedName>
    <definedName name="_xlnm.Print_Area" localSheetId="19">'Worksheet O'!$A$1:$D$32</definedName>
    <definedName name="_xlnm.Print_Area" localSheetId="4">'WS A  - RB Support '!$A$1:$G$99</definedName>
    <definedName name="_xlnm.Print_Area" localSheetId="5">'WS B ADIT &amp; ITC'!$A$1:$I$54</definedName>
    <definedName name="_xlnm.Print_Area" localSheetId="6">'WS C  - Working Capital'!$A$1:$L$70</definedName>
    <definedName name="_xlnm.Print_Area" localSheetId="7">'WS D IPP Credits'!$A$1:$E$26</definedName>
    <definedName name="_xlnm.Print_Area" localSheetId="8">'WS E Rev Credits'!$A$1:$K$29</definedName>
    <definedName name="_xlnm.Print_Area" localSheetId="9">'WS F Misc Exp'!$A$1:$G$70</definedName>
    <definedName name="_xlnm.Print_Area" localSheetId="10">'WS G  State Tax Rate'!$A$1:$H$35</definedName>
    <definedName name="_xlnm.Print_Area" localSheetId="11">'WS H-p1 Other Taxes'!$A$1:$M$87</definedName>
    <definedName name="_xlnm.Print_Area" localSheetId="12">'WS H-p2 Detail of Tax Amts'!$A$1:$G$95</definedName>
    <definedName name="_xlnm.Print_Area" localSheetId="13">'WS I Projected Plant'!$A$1:$J$60</definedName>
    <definedName name="_xlnm.Print_Area" localSheetId="14">'WS J PROJECTED RTEP RR'!$A$1:$O$169</definedName>
    <definedName name="_xlnm.Print_Area" localSheetId="16">'WS L Cost of Debt'!$A$1:$F$67</definedName>
    <definedName name="_xlnm.Print_Area" localSheetId="17">'WS M - Avg Cap Structure'!$A$1:$O$79</definedName>
    <definedName name="_xlnm.Print_Area" localSheetId="18">'WS N - Sale of Plant Held'!$A$1:$U$33</definedName>
    <definedName name="_xlnm.Print_Area" localSheetId="20">'WS P Dep. Rates'!$A$1:$E$35</definedName>
    <definedName name="_xlnm.Print_Area" localSheetId="21">'WS Q Cap Structure'!$A$1:$J$235</definedName>
    <definedName name="_xlnm.Print_Titles" localSheetId="1">'Projected TCOS'!$A:$F</definedName>
    <definedName name="_xlnm.Print_Titles" localSheetId="4">'WS A  - RB Support '!$2:$9</definedName>
    <definedName name="_xlnm.Print_Titles" localSheetId="6">'WS C  - Working Capital'!$1:$7</definedName>
    <definedName name="_xlnm.Print_Titles" localSheetId="11">'WS H-p1 Other Taxes'!$1:$5</definedName>
    <definedName name="_xlnm.Print_Titles" localSheetId="12">'WS H-p2 Detail of Tax Amts'!$1:$4</definedName>
    <definedName name="_xlnm.Print_Titles" localSheetId="20">'WS P Dep. Rates'!$3:$11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'Projected TCOS'!$I$363:$J$374</definedName>
    <definedName name="PSOallocatorsH" localSheetId="3">'True-UP TCOS'!$I$443:$J$454</definedName>
    <definedName name="PSOallocatorsP" localSheetId="17">#REF!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4" hidden="1">'WS A  - RB Support '!#REF!</definedName>
    <definedName name="Z_3768C7C8_9953_11DA_B318_000FB55D51DC_.wvu.PrintArea" localSheetId="6" hidden="1">'WS C  - Working Capital'!$A$8:$N$70</definedName>
    <definedName name="Z_3768C7C8_9953_11DA_B318_000FB55D51DC_.wvu.PrintTitles" localSheetId="19" hidden="1">'Worksheet O'!#REF!</definedName>
    <definedName name="Z_3768C7C8_9953_11DA_B318_000FB55D51DC_.wvu.PrintTitles" localSheetId="4" hidden="1">'WS A  - RB Support '!#REF!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4" hidden="1">'WS A  - RB Support '!#REF!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4" hidden="1">'WS A  - RB Support '!#REF!</definedName>
    <definedName name="Z_3BDD6235_B127_4929_8311_BDAF7BB89818_.wvu.PrintArea" localSheetId="6" hidden="1">'WS C  - Working Capital'!$A$8:$N$70</definedName>
    <definedName name="Z_3BDD6235_B127_4929_8311_BDAF7BB89818_.wvu.PrintTitles" localSheetId="19" hidden="1">'Worksheet O'!#REF!</definedName>
    <definedName name="Z_3BDD6235_B127_4929_8311_BDAF7BB89818_.wvu.PrintTitles" localSheetId="4" hidden="1">'WS A  - RB Support '!#REF!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4" hidden="1">'WS A  - RB Support '!#REF!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4" hidden="1">'WS A  - RB Support '!#REF!</definedName>
    <definedName name="Z_B0241363_5C8A_48FC_89A6_56D55586BABE_.wvu.PrintArea" localSheetId="6" hidden="1">'WS C  - Working Capital'!$A$8:$N$70</definedName>
    <definedName name="Z_B0241363_5C8A_48FC_89A6_56D55586BABE_.wvu.PrintTitles" localSheetId="19" hidden="1">'Worksheet O'!#REF!</definedName>
    <definedName name="Z_B0241363_5C8A_48FC_89A6_56D55586BABE_.wvu.PrintTitles" localSheetId="4" hidden="1">'WS A  - RB Support '!#REF!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4" hidden="1">'WS A  - RB Support '!#REF!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4" hidden="1">'WS A  - RB Support '!#REF!</definedName>
    <definedName name="Z_C0EA0F9F_7310_4201_82C9_7B8FC8DB9137_.wvu.PrintArea" localSheetId="6" hidden="1">'WS C  - Working Capital'!$A$8:$N$70</definedName>
    <definedName name="Z_C0EA0F9F_7310_4201_82C9_7B8FC8DB9137_.wvu.PrintTitles" localSheetId="19" hidden="1">'Worksheet O'!#REF!</definedName>
    <definedName name="Z_C0EA0F9F_7310_4201_82C9_7B8FC8DB9137_.wvu.PrintTitles" localSheetId="4" hidden="1">'WS A  - RB Support '!#REF!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4" hidden="1">'WS A  - RB Support '!#REF!</definedName>
    <definedName name="Z_C0EA0F9F_7310_4201_82C9_7B8FC8DB9137_.wvu.Rows" localSheetId="6" hidden="1">'WS C  - Working Capital'!#REF!</definedName>
    <definedName name="Z_C5140E12_E05E_4473_9142_42F37320A417_.wvu.Cols" localSheetId="11" hidden="1">'WS H-p1 Other Taxes'!$N:$N</definedName>
    <definedName name="Z_C5140E12_E05E_4473_9142_42F37320A417_.wvu.Cols" localSheetId="12" hidden="1">'WS H-p2 Detail of Tax Amts'!$F:$F</definedName>
    <definedName name="Z_C5140E12_E05E_4473_9142_42F37320A417_.wvu.PrintArea" localSheetId="2" hidden="1">'Historic TCOS'!$B$1:$L$369</definedName>
    <definedName name="Z_C5140E12_E05E_4473_9142_42F37320A417_.wvu.PrintArea" localSheetId="1" hidden="1">'Projected TCOS'!$B$1:$L$372</definedName>
    <definedName name="Z_C5140E12_E05E_4473_9142_42F37320A417_.wvu.PrintArea" localSheetId="3" hidden="1">'True-UP TCOS'!$B$1:$L$375</definedName>
    <definedName name="Z_C5140E12_E05E_4473_9142_42F37320A417_.wvu.PrintArea" localSheetId="4" hidden="1">'WS A  - RB Support '!$A$1:$G$94</definedName>
    <definedName name="Z_C5140E12_E05E_4473_9142_42F37320A417_.wvu.PrintArea" localSheetId="5" hidden="1">'WS B ADIT &amp; ITC'!$A$1:$I$54</definedName>
    <definedName name="Z_C5140E12_E05E_4473_9142_42F37320A417_.wvu.PrintArea" localSheetId="6" hidden="1">'WS C  - Working Capital'!$A$1:$L$70</definedName>
    <definedName name="Z_C5140E12_E05E_4473_9142_42F37320A417_.wvu.PrintArea" localSheetId="7" hidden="1">'WS D IPP Credits'!$A$1:$E$26</definedName>
    <definedName name="Z_C5140E12_E05E_4473_9142_42F37320A417_.wvu.PrintArea" localSheetId="8" hidden="1">'WS E Rev Credits'!$A$1:$K$27</definedName>
    <definedName name="Z_C5140E12_E05E_4473_9142_42F37320A417_.wvu.PrintArea" localSheetId="9" hidden="1">'WS F Misc Exp'!$A$1:$G$70</definedName>
    <definedName name="Z_C5140E12_E05E_4473_9142_42F37320A417_.wvu.PrintArea" localSheetId="10" hidden="1">'WS G  State Tax Rate'!$A$1:$H$35</definedName>
    <definedName name="Z_C5140E12_E05E_4473_9142_42F37320A417_.wvu.PrintArea" localSheetId="11" hidden="1">'WS H-p1 Other Taxes'!$A$1:$N$87</definedName>
    <definedName name="Z_C5140E12_E05E_4473_9142_42F37320A417_.wvu.PrintArea" localSheetId="12" hidden="1">'WS H-p2 Detail of Tax Amts'!$A$1:$F$90</definedName>
    <definedName name="Z_C5140E12_E05E_4473_9142_42F37320A417_.wvu.PrintArea" localSheetId="13" hidden="1">'WS I Projected Plant'!$A$1:$J$58</definedName>
    <definedName name="Z_C5140E12_E05E_4473_9142_42F37320A417_.wvu.PrintArea" localSheetId="14" hidden="1">'WS J PROJECTED RTEP RR'!$A$1:$O$166</definedName>
    <definedName name="Z_C5140E12_E05E_4473_9142_42F37320A417_.wvu.PrintArea" localSheetId="15" hidden="1">'WS K TRUE-UP RTEP RR'!$A$1:$P$166</definedName>
    <definedName name="Z_C5140E12_E05E_4473_9142_42F37320A417_.wvu.PrintArea" localSheetId="16" hidden="1">'WS L Cost of Debt'!$B$1:$E$64</definedName>
    <definedName name="Z_C5140E12_E05E_4473_9142_42F37320A417_.wvu.PrintTitles" localSheetId="4" hidden="1">'WS A  - RB Support '!$2:$9</definedName>
    <definedName name="Z_C5140E12_E05E_4473_9142_42F37320A417_.wvu.PrintTitles" localSheetId="6" hidden="1">'WS C  - Working Capital'!$1:$7</definedName>
    <definedName name="Z_C5140E12_E05E_4473_9142_42F37320A417_.wvu.PrintTitles" localSheetId="11" hidden="1">'WS H-p1 Other Taxes'!$1:$5</definedName>
    <definedName name="Z_C5140E12_E05E_4473_9142_42F37320A417_.wvu.PrintTitles" localSheetId="12" hidden="1">'WS H-p2 Detail of Tax Amts'!$1:$4</definedName>
    <definedName name="Zip">#REF!</definedName>
  </definedNames>
  <calcPr fullCalcOnLoad="1"/>
</workbook>
</file>

<file path=xl/sharedStrings.xml><?xml version="1.0" encoding="utf-8"?>
<sst xmlns="http://schemas.openxmlformats.org/spreadsheetml/2006/main" count="2375" uniqueCount="1041">
  <si>
    <t>Transmission Plant Held For Future</t>
  </si>
  <si>
    <t xml:space="preserve">Balances @ </t>
  </si>
  <si>
    <t>FF1, page 214, ln 47, Col. (d)</t>
  </si>
  <si>
    <t>N/A</t>
  </si>
  <si>
    <t xml:space="preserve">  Less: General Plant ARO (Enter Negative) </t>
  </si>
  <si>
    <t xml:space="preserve">  Less: Transmission ARO (Enter Negative) </t>
  </si>
  <si>
    <t>FF1, page 219, ln 25, Col. (b)</t>
  </si>
  <si>
    <t>(Total Company Amount Ties to FFI p.114, Ln 14,(c))</t>
  </si>
  <si>
    <t>Average Balance of Transmission Investment</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</si>
  <si>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</si>
  <si>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</si>
  <si>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</si>
  <si>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</si>
  <si>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</si>
  <si>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</si>
  <si>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</si>
  <si>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</si>
  <si>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</si>
  <si>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</si>
  <si>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</si>
  <si>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</si>
  <si>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</si>
  <si>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</si>
  <si>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Revised  to explain how interest expense is calculated in the projected and true-up WACC</t>
  </si>
  <si>
    <t>561 - Load Dispatching</t>
  </si>
  <si>
    <t>561.1 - Load Dispatch - Reliability</t>
  </si>
  <si>
    <t>561.2 - Load Dispatch - Monitor &amp; Operate Trans System</t>
  </si>
  <si>
    <t>561.3 - Load Dispatch - Trans Service &amp; Scheduling</t>
  </si>
  <si>
    <t>FF1 p 321.85.b</t>
  </si>
  <si>
    <t>FF1 p 321.84.b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</si>
  <si>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</si>
  <si>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</si>
  <si>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</si>
  <si>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</si>
  <si>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</si>
  <si>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</si>
  <si>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</si>
  <si>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</si>
  <si>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</si>
  <si>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</si>
  <si>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</si>
  <si>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</si>
  <si>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</si>
  <si>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</si>
  <si>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Lns 85 &amp; 251</t>
  </si>
  <si>
    <t>Lns 85</t>
  </si>
  <si>
    <t>Change account 561 expenses from a direct imput in historic template to an account by account input on WS F from the FF1 per Staff's request.</t>
  </si>
  <si>
    <t>Note H</t>
  </si>
  <si>
    <t>Revised note to include the source of "Company Records" as the general ledger.</t>
  </si>
  <si>
    <t>WS A</t>
  </si>
  <si>
    <t>On this worksheet, "Company Records" refers to AEP's property accounting ledger.</t>
  </si>
  <si>
    <t>WS B</t>
  </si>
  <si>
    <t>On this worksheet, "Company Records" refers to AEP's tax accounting ledger.</t>
  </si>
  <si>
    <t>WS D</t>
  </si>
  <si>
    <t>WS E</t>
  </si>
  <si>
    <t>Added subtotal on new line 6 to tie the total company other operating revenues to FF1 p 300 line 26, col b.</t>
  </si>
  <si>
    <t xml:space="preserve">Added total company source reference to lines 1-5 and 7 </t>
  </si>
  <si>
    <t>WS G</t>
  </si>
  <si>
    <t>Note 2</t>
  </si>
  <si>
    <t>Apportionment Factors are determined as part of the Company's annual tax return for that jurisdiction.</t>
  </si>
  <si>
    <t>Added a cite in Note 1 for the five year phase out of the Ohio Income tax</t>
  </si>
  <si>
    <t>Added note 2 to describe where the apportionment factors come from</t>
  </si>
  <si>
    <t>Total O&amp;M Allocable to Transmission</t>
  </si>
  <si>
    <t>Transmission Cost of Service Formula Rate</t>
  </si>
  <si>
    <t>Historic Year</t>
  </si>
  <si>
    <t>Projected Year</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</si>
  <si>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</si>
  <si>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</si>
  <si>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</si>
  <si>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</si>
  <si>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</si>
  <si>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</si>
  <si>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</si>
  <si>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</si>
  <si>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</si>
  <si>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</si>
  <si>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</si>
  <si>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 xml:space="preserve"> (Note O)</t>
  </si>
  <si>
    <t xml:space="preserve">  Less transmission plant excluded from PJM Tariff  (Note P)</t>
  </si>
  <si>
    <t>T</t>
  </si>
  <si>
    <t xml:space="preserve">       and FIT, SIT &amp; p are as given in Note O.</t>
  </si>
  <si>
    <t>354.24,25,26.b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</si>
  <si>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</si>
  <si>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</si>
  <si>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</si>
  <si>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</si>
  <si>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</si>
  <si>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</si>
  <si>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</si>
  <si>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</si>
  <si>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</si>
  <si>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</si>
  <si>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</si>
  <si>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</si>
  <si>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</si>
  <si>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</si>
  <si>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State Business &amp; Occupation Tax</t>
  </si>
  <si>
    <t>State Severance Taxes</t>
  </si>
  <si>
    <t xml:space="preserve">         PBOP Adjustment</t>
  </si>
  <si>
    <t>(FF1 p 112, Ln 16.c)</t>
  </si>
  <si>
    <t>(FF1 p 112, Ln 3.c)</t>
  </si>
  <si>
    <t>(FF1 p 112, Ln 12.c)</t>
  </si>
  <si>
    <t>(FF1 p 112, Ln 15.c)</t>
  </si>
  <si>
    <t>AEP OPERATING COMPANIES' COMPOSITE (Note S)</t>
  </si>
  <si>
    <t>The Post-employment Benefit Other than Pension (PBOP) expense is fixed based on an approved ratio of PBOP expense to direct labor expense</t>
  </si>
  <si>
    <t xml:space="preserve">Worksheet  - P </t>
  </si>
  <si>
    <t>DEPRECIATION RATES</t>
  </si>
  <si>
    <t>FOR TRANSMISSION PLANT PROPERTY ACCOUNTS</t>
  </si>
  <si>
    <t>EFFECTIVE AS OF 7/1/2010</t>
  </si>
  <si>
    <t xml:space="preserve">Amortization of Loss </t>
  </si>
  <si>
    <t>NOTE:  All interest rate hedging gains/losses shall be excluded from long term debt expense.</t>
  </si>
  <si>
    <t>Total Regulatory Deferrals Included in Ratebase (Note 2)</t>
  </si>
  <si>
    <t>Amortization Period</t>
  </si>
  <si>
    <t>HEDGE AMOUNTS BY ISSUANCE (FROM p. 256-257 (i) of the FERC Form 1)</t>
  </si>
  <si>
    <t>Remaining Unamortized Balance</t>
  </si>
  <si>
    <t>Currently Approved PBOP Rate</t>
  </si>
  <si>
    <t>Base PBOP TransCo labor expensed in current year</t>
  </si>
  <si>
    <t>Medicare Credit</t>
  </si>
  <si>
    <t>Average (Ln 1+ Ln 2)/2</t>
  </si>
  <si>
    <t xml:space="preserve">     Less: State Regulatory Deferrals &amp; Amortizations</t>
  </si>
  <si>
    <t>FF1, page 207 Col.(g) &amp; pg. 206 Col. (b), ln 58</t>
  </si>
  <si>
    <t>FF1, page 207 Col.(g) &amp; pg. 206 Col. (b), ln 57</t>
  </si>
  <si>
    <t>Note J</t>
  </si>
  <si>
    <t>Note J was not correct in true-up.  Copied revised note J to true-up.</t>
  </si>
  <si>
    <t>True-up Template</t>
  </si>
  <si>
    <t>Added a line to Note U indicating that the cap percentage cannot change absent a 205 filing with the FERC.</t>
  </si>
  <si>
    <t>Proj &amp; Hist Template</t>
  </si>
  <si>
    <t>Note U</t>
  </si>
  <si>
    <t>All Templates</t>
  </si>
  <si>
    <t>Note S</t>
  </si>
  <si>
    <t>Line 153</t>
  </si>
  <si>
    <t>Corrected Row reference to WS M from 18 to 21</t>
  </si>
  <si>
    <t>Line 154</t>
  </si>
  <si>
    <t>Corrected Row reference to WS M from 48 to 56</t>
  </si>
  <si>
    <t>Line 162</t>
  </si>
  <si>
    <t>FF1, page 207 Col.(g) &amp; pg. 206 Col. (b), ln 99</t>
  </si>
  <si>
    <t>FF1, page 207 Col.(g) &amp; pg. 206 Col. (b), ln 98</t>
  </si>
  <si>
    <t>FF1, page 205 Col.(g) &amp; pg. 204 Col. (b), ln 5</t>
  </si>
  <si>
    <t xml:space="preserve">   Effective State Tax Rate</t>
  </si>
  <si>
    <t>FF1, p. 274 - 275, ln 5, Col. (k)</t>
  </si>
  <si>
    <t>FF1.p. 117.65.c</t>
  </si>
  <si>
    <t>Issuance Discount, Premium, &amp; Expenses:</t>
  </si>
  <si>
    <t>FF1.p. 117.63.c</t>
  </si>
  <si>
    <t>FF1.p. 117.64.c</t>
  </si>
  <si>
    <t>FF1.p. 117.66.c</t>
  </si>
  <si>
    <t>Preferred Stock (FF1.p. 250-251)</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</si>
  <si>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</si>
  <si>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</si>
  <si>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</si>
  <si>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</si>
  <si>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</si>
  <si>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</si>
  <si>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</si>
  <si>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</si>
  <si>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</si>
  <si>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</si>
  <si>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</si>
  <si>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</si>
  <si>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</si>
  <si>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</si>
  <si>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</si>
  <si>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</si>
  <si>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</si>
  <si>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ADDITIONAL REVENUE REQUIREMENT for projects w/ incentive ROE's (Note B) (Worksheet J)</t>
  </si>
  <si>
    <t>REVENUE REQUIREMENT For All Company Facilities</t>
  </si>
  <si>
    <t>Less: Amort of Debt Premiums</t>
  </si>
  <si>
    <t xml:space="preserve">Less: Amortization of Gain </t>
  </si>
  <si>
    <t>Bonds - Acc 221</t>
  </si>
  <si>
    <t xml:space="preserve">Advances from Assoc Companies </t>
  </si>
  <si>
    <t>Reacquired Bonds - Total Account 222</t>
  </si>
  <si>
    <t>Long Term Debt (FF1.p. 256-257, a,h)</t>
  </si>
  <si>
    <t>Sale/Leaseback (If Applicable)</t>
  </si>
  <si>
    <t>NOTE:  The balance of fair value hedges on outstanding long term debt are to be excluded from the balance of long term debt included in the formula's capital structure. (Page 257, Column H of the FF1)</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</si>
  <si>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</si>
  <si>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</si>
  <si>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</si>
  <si>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</si>
  <si>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</si>
  <si>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</si>
  <si>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See note K above.  Per the settlement in Docket ER10-355, recoverable PBOP expense is based on a rate of 9.4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</si>
  <si>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Interest Expense (Company Records - Note 1)</t>
  </si>
  <si>
    <t xml:space="preserve">ITC Balances Includeable in Ratebase </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</si>
  <si>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</si>
  <si>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</si>
  <si>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</si>
  <si>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</si>
  <si>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</si>
  <si>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</si>
  <si>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</si>
  <si>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</si>
  <si>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</si>
  <si>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</si>
  <si>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8-9</t>
  </si>
  <si>
    <t>2, 5</t>
  </si>
  <si>
    <t xml:space="preserve">NOTE 2 </t>
  </si>
  <si>
    <t xml:space="preserve">ADIT balances should exclude balances related to hedging activity. </t>
  </si>
  <si>
    <t xml:space="preserve">Added Note 2 to exclude from ratebase ADIT balances related to hedging activity. </t>
  </si>
  <si>
    <t>ADIT #1b</t>
  </si>
  <si>
    <t>See W/S L</t>
  </si>
  <si>
    <t>AEP KENTUCKY TRANSMISSION COMPANY</t>
  </si>
  <si>
    <t>Actual Capped Capital Cost Structure (Note S)</t>
  </si>
  <si>
    <t>Annual Tax Expenses by Type (Note 1)</t>
  </si>
  <si>
    <t>The Ohio State Income Tax is being phased-out prorata over a 5 year period from 2005 through 2009.  The taxable portion of income is 20% in 2009.  The phase-out factors can be found in the Ohio Revised Code at  5733.01(G)2(a)(v).  This tax has been replaced with a Commercial Activites Tax that is included in Schedule H.</t>
  </si>
  <si>
    <t>NOTE: The ratebase should not include the unamoritzed balance of hedging gains or losses.</t>
  </si>
  <si>
    <t>Page # on AEP Response to Staff Memo</t>
  </si>
  <si>
    <t>&lt;== This input area is for accumulated depreciation that may be associated with capital</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</si>
  <si>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</si>
  <si>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</si>
  <si>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</si>
  <si>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</si>
  <si>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</si>
  <si>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</si>
  <si>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</si>
  <si>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t>additional incentive requirement is applicable for the life of this specific project.  Each year the revenue requirement calculated for PJM</t>
  </si>
  <si>
    <t>Issuance</t>
  </si>
  <si>
    <t>Interest Rate</t>
  </si>
  <si>
    <t>Annual Expense</t>
  </si>
  <si>
    <t>Actual</t>
  </si>
  <si>
    <t>Cap Limit</t>
  </si>
  <si>
    <t>Capital Structure Percentages</t>
  </si>
  <si>
    <t>CALCULATION OF HEDGE GAINS/LOSSES TO BE EXLCUDED FROM TCOS</t>
  </si>
  <si>
    <t>Amort of Debt Discount and Expenses</t>
  </si>
  <si>
    <t>Reacquired Debt:</t>
  </si>
  <si>
    <t>Total Interest on Long Term Debt</t>
  </si>
  <si>
    <t>Preferred Shares Outstanding</t>
  </si>
  <si>
    <t>Dividends on Preferred Stock</t>
  </si>
  <si>
    <t>WS N</t>
  </si>
  <si>
    <t>FERC</t>
  </si>
  <si>
    <t>Included revision to note to explain FERC Account in which gains or losses on sales of plant held for future use are recorded., Added Column (I)</t>
  </si>
  <si>
    <t>to input the applicable account for each sales transaction.</t>
  </si>
  <si>
    <t xml:space="preserve">WS M </t>
  </si>
  <si>
    <t>Lines 42-44:Corrected O/S Shares of Preferred Stock @ 12/31/2007  to reflect FF1 p 250-251. Actually reflected the 2006 balance</t>
  </si>
  <si>
    <t>WS L</t>
  </si>
  <si>
    <t>Year End Total Agrees to FF1 p.112, Ln 3, col (c ) &amp; (d)</t>
  </si>
  <si>
    <t>In title of WS inserted the word "Projected" after "Calculation of"</t>
  </si>
  <si>
    <t>(See Note S on Projected Template)</t>
  </si>
  <si>
    <t>Auction Fees</t>
  </si>
  <si>
    <t>FF1.p. 256 &amp; 257.Lines Described as Fees</t>
  </si>
  <si>
    <t xml:space="preserve">WS L </t>
  </si>
  <si>
    <t>Lines 40-44- Added the 5 basis point limit to recoverable hedge gain or loss to projected interest calcluation</t>
  </si>
  <si>
    <t>Header for Column (D): Referenced Note S on projected template to describe how interest is calculated.</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</si>
  <si>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</si>
  <si>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</si>
  <si>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</si>
  <si>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</si>
  <si>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</si>
  <si>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</si>
  <si>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Calculation of Post-employment Benefits Other than Pensions Expenses Allocable to Transmission Service</t>
  </si>
  <si>
    <t>Worksheet O - PBOP Support</t>
  </si>
  <si>
    <t>PBOP</t>
  </si>
  <si>
    <t>Calculation of PBOP Expenses</t>
  </si>
  <si>
    <t>Base Year relating to retired personnel</t>
  </si>
  <si>
    <t xml:space="preserve">Amount allocated on Labor </t>
  </si>
  <si>
    <t>Direct PBOP Expense per Actuarial Report</t>
  </si>
  <si>
    <t>Additional PBOP Ledger Entry (From Company Records)</t>
  </si>
  <si>
    <t xml:space="preserve">Actual PBOP Expense </t>
  </si>
  <si>
    <t>PBOP Adjustment</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</si>
  <si>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</si>
  <si>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</si>
  <si>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</si>
  <si>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</si>
  <si>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</si>
  <si>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</si>
  <si>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</si>
  <si>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</si>
  <si>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</si>
  <si>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</si>
  <si>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 xml:space="preserve">Transmission Asset Retirement Obligation </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</si>
  <si>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</si>
  <si>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</si>
  <si>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</si>
  <si>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</si>
  <si>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</si>
  <si>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 xml:space="preserve">NOTE:  Functional ARO investment and accumulated depreciation balances shown below are included in the total functional balances shown here. </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</si>
  <si>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</si>
  <si>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</si>
  <si>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</si>
  <si>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</si>
  <si>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</si>
  <si>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</si>
  <si>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Worksheet C Supporting Working Capital Rate Base Adjustments</t>
  </si>
  <si>
    <t xml:space="preserve"> Worksheet A Supporting Plant Balances</t>
  </si>
  <si>
    <t>5700005</t>
  </si>
  <si>
    <t>Maint Station-Reliability-Df</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</si>
  <si>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</si>
  <si>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</si>
  <si>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</si>
  <si>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</si>
  <si>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</si>
  <si>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</si>
  <si>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</si>
  <si>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</si>
  <si>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</si>
  <si>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</si>
  <si>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Average</t>
  </si>
  <si>
    <t>Average $</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</si>
  <si>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</si>
  <si>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</si>
  <si>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</si>
  <si>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</si>
  <si>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</si>
  <si>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</si>
  <si>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</si>
  <si>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</si>
  <si>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</si>
  <si>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</si>
  <si>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P.263 ln 7 (i)</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</si>
  <si>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</si>
  <si>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</si>
  <si>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</si>
  <si>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</si>
  <si>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</si>
  <si>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</si>
  <si>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r>
      <t>Accounts  4470004 &amp; 5, Revenues from Grandfathered Transmission Contracts</t>
    </r>
    <r>
      <rPr>
        <b/>
        <sz val="10"/>
        <rFont val="Arial"/>
        <family val="2"/>
      </rPr>
      <t xml:space="preserve"> - (Company Records - Note 1)</t>
    </r>
  </si>
  <si>
    <t>Apportionment Factor - Note 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</si>
  <si>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 of the Ferc Form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</si>
  <si>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</si>
  <si>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</si>
  <si>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</si>
  <si>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</si>
  <si>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</si>
  <si>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</si>
  <si>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</si>
  <si>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</si>
  <si>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</si>
  <si>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</si>
  <si>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</si>
  <si>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</si>
  <si>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</si>
  <si>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</si>
  <si>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</si>
  <si>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</si>
  <si>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</si>
  <si>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</si>
  <si>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</si>
  <si>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</si>
  <si>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</si>
  <si>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</si>
  <si>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</si>
  <si>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1650004</t>
  </si>
  <si>
    <t>Prepaid Interest</t>
  </si>
  <si>
    <t>1650005</t>
  </si>
  <si>
    <t>Prepaid Employee Benefits</t>
  </si>
  <si>
    <t>1650006</t>
  </si>
  <si>
    <t>Other Prepayments</t>
  </si>
  <si>
    <t>1650009</t>
  </si>
  <si>
    <t>Prepaid Carry Cost-Factored AR</t>
  </si>
  <si>
    <t>1650010</t>
  </si>
  <si>
    <t>Prepaid Pension Benefits</t>
  </si>
  <si>
    <t>1650014</t>
  </si>
  <si>
    <t>FAS 158 Qual Contra Asset</t>
  </si>
  <si>
    <t>Transmission Materials &amp; Supplies</t>
  </si>
  <si>
    <t>General Materials &amp; Supplies</t>
  </si>
  <si>
    <t>Stores Expense (Undistributed)</t>
  </si>
  <si>
    <t xml:space="preserve">  Stores Expense </t>
  </si>
  <si>
    <t>1650003</t>
  </si>
  <si>
    <t>Prepaid Rents</t>
  </si>
  <si>
    <t>1650016</t>
  </si>
  <si>
    <t>FAS 112 ASSETS</t>
  </si>
  <si>
    <t>Excludable</t>
  </si>
  <si>
    <t>Prepayment Balance Summary</t>
  </si>
  <si>
    <t>Assoc Business Development Exp</t>
  </si>
  <si>
    <t>Source of Data</t>
  </si>
  <si>
    <t>Rate Base Item &amp; Supporting Balance</t>
  </si>
  <si>
    <t>AEPTCo subsidiaries in PJM</t>
  </si>
  <si>
    <t>Plant Held For Future Use</t>
  </si>
  <si>
    <t>( C )</t>
  </si>
  <si>
    <t>General Notes:  a)  References to data from Worksheets are indicated as:  Worksheet X, Line#.Column.X</t>
  </si>
  <si>
    <t>(C )</t>
  </si>
  <si>
    <t>Development of Average Balance of Common Equity</t>
  </si>
  <si>
    <t>NOTE 1</t>
  </si>
  <si>
    <t>Company Records - Note 1</t>
  </si>
  <si>
    <t>Subtotal - Other Operating Revenues (Company Total equals (FF1 p. 300.26.(b))</t>
  </si>
  <si>
    <t xml:space="preserve"> Worksheet G Supporting - Development of Composite State Income Tax Rate</t>
  </si>
  <si>
    <t>Removed the Equity Cap calculations from the historic &amp; projected templates, and revised realted note U</t>
  </si>
  <si>
    <t>Added K. Barnes suggested language that allocators cannot change without a 205 filing.</t>
  </si>
  <si>
    <t>Template or WS</t>
  </si>
  <si>
    <t>Line or Note Reference</t>
  </si>
  <si>
    <t>Point on FERC Memo</t>
  </si>
  <si>
    <t>Change</t>
  </si>
  <si>
    <t>Ln 166 &amp; Ln 332</t>
  </si>
  <si>
    <t>General # 1</t>
  </si>
  <si>
    <t>General # 3</t>
  </si>
  <si>
    <t>Cap-Cost #1.b.</t>
  </si>
  <si>
    <t>Cap-Cost # 3</t>
  </si>
  <si>
    <t>Cap-Cost # 5</t>
  </si>
  <si>
    <t>Cap-Cost # 6</t>
  </si>
  <si>
    <t xml:space="preserve">Updated reference to WS M line 22 </t>
  </si>
  <si>
    <t>Included a calculation to limit hedging gains &amp; losses to five basis points of projected capital structure.</t>
  </si>
  <si>
    <t>Cap-Cost #1.b. &amp; #7.c</t>
  </si>
  <si>
    <t>Changed desciption of header on column (B) to "Principle Outstanding."</t>
  </si>
  <si>
    <t>Removed from the Line 4 description the reference to column (i) of FERC Form 1 page 257.</t>
  </si>
  <si>
    <t>Added "Note 1 to define "company records" as the general ledger accounting system.</t>
  </si>
  <si>
    <t>WS F</t>
  </si>
  <si>
    <t>Included an input section for each sub-account of 561.  The subtotal is the source of this activity for the templates</t>
  </si>
  <si>
    <t>Cap-Cost #7b.</t>
  </si>
  <si>
    <t>Cap-Cost #7e.</t>
  </si>
  <si>
    <t>Cap-Cost #7f.</t>
  </si>
  <si>
    <t>Cap-Cost #7g.</t>
  </si>
  <si>
    <t>Cap-Cost #1.b; #1.c</t>
  </si>
  <si>
    <t>Cap-Cost #4.c.</t>
  </si>
  <si>
    <t>Other Edit #5</t>
  </si>
  <si>
    <t xml:space="preserve">Other Edits #1, </t>
  </si>
  <si>
    <t>Other Edits # 3, 4</t>
  </si>
  <si>
    <t>Added Note 1 to define "company records" as the property accounting system.</t>
  </si>
  <si>
    <t>Added Note 1 to define "company records" as the tax accounting system.</t>
  </si>
  <si>
    <t>Added Note 1 to define "company records" as the general ledger accounting system.</t>
  </si>
  <si>
    <t>Other Edits #1</t>
  </si>
  <si>
    <t>Ln 20</t>
  </si>
  <si>
    <t>Other Edits #7</t>
  </si>
  <si>
    <t>Proj &amp; True-up Template</t>
  </si>
  <si>
    <t>Corrected source reference</t>
  </si>
  <si>
    <t>Ln 21</t>
  </si>
  <si>
    <t>Other Edits #8</t>
  </si>
  <si>
    <t>Added Reference to source of TP allocator on line 143</t>
  </si>
  <si>
    <t xml:space="preserve">Projected  </t>
  </si>
  <si>
    <t>Other Edits #9</t>
  </si>
  <si>
    <t>Corrected formula referencing wrong cell on WS A</t>
  </si>
  <si>
    <t xml:space="preserve">Lines 92 $ 258 </t>
  </si>
  <si>
    <t>Corrected "Susidiary" to "Subsidy" in description.</t>
  </si>
  <si>
    <t xml:space="preserve">NOTE 1 </t>
  </si>
  <si>
    <t>Revenue Credits to Generators (Company Records - Note 1)</t>
  </si>
  <si>
    <t>Accounting Adjustment  (Company Records - Note 1)</t>
  </si>
  <si>
    <t>Summary of the Application of FERC Revisions to APCo Settlement Template</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</si>
  <si>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</si>
  <si>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</si>
  <si>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</si>
  <si>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</si>
  <si>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</si>
  <si>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</si>
  <si>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</si>
  <si>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</si>
  <si>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</si>
  <si>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</si>
  <si>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</si>
  <si>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</si>
  <si>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</si>
  <si>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</si>
  <si>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</si>
  <si>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</si>
  <si>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 xml:space="preserve">     Plus: Transmission Plant-in-Service Additions (Worksheet I, ln 21.D)</t>
  </si>
  <si>
    <t xml:space="preserve">     Plus: Additional Trans Plant on Transferred Assets (Worksheet I, ln 22.D)</t>
  </si>
  <si>
    <t>(Worksheet A ln 7.C)</t>
  </si>
  <si>
    <t>(Worksheet A ln 8.C)</t>
  </si>
  <si>
    <t>(Worksheet A ln 9.C)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</si>
  <si>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</si>
  <si>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</si>
  <si>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</si>
  <si>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</si>
  <si>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</si>
  <si>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18.C)</t>
  </si>
  <si>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</si>
  <si>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</si>
  <si>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</si>
  <si>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</si>
  <si>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</si>
  <si>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</si>
  <si>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</si>
  <si>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</si>
  <si>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</si>
  <si>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</si>
  <si>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</si>
  <si>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</si>
  <si>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</si>
  <si>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</si>
  <si>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 xml:space="preserve">     Plus: Transmission Plant-in-Service Additions (Worksheet I ln 21.I)</t>
  </si>
  <si>
    <t>354.21.b</t>
  </si>
  <si>
    <t xml:space="preserve"> Revenue Requirement for PJM Schedule 12 Facilities (w/o incentives)  (Worksheet K)</t>
  </si>
  <si>
    <t>ADDITIONAL REVENUE REQUIREMENT for projects w/ incentive ROE's (Note B) (Worksheet K)</t>
  </si>
  <si>
    <t>(Worksheet A ln 7.E)</t>
  </si>
  <si>
    <t>(Worksheet A ln 8.E)</t>
  </si>
  <si>
    <t>(Worksheet A ln 9.E)</t>
  </si>
  <si>
    <t>(Worksheet A ln 14.E &amp; 28.E)</t>
  </si>
  <si>
    <t>(Worksheet A ln 15.E)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</si>
  <si>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</si>
  <si>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</si>
  <si>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</si>
  <si>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</si>
  <si>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</si>
  <si>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</si>
  <si>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</si>
  <si>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</si>
  <si>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</si>
  <si>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</si>
  <si>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</si>
  <si>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</si>
  <si>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</si>
  <si>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</si>
  <si>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</si>
  <si>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</si>
  <si>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</si>
  <si>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</si>
  <si>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</si>
  <si>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Other Long Term Debt - Acc 224</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</si>
  <si>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</si>
  <si>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</si>
  <si>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</si>
  <si>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</si>
  <si>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</si>
  <si>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</si>
  <si>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</si>
  <si>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</si>
  <si>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</si>
  <si>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</si>
  <si>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</si>
  <si>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</si>
  <si>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</si>
  <si>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</si>
  <si>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</si>
  <si>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</si>
  <si>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</si>
  <si>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9301004</t>
  </si>
  <si>
    <t>Newspaper Advertising Prod Exp</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</si>
  <si>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</si>
  <si>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</si>
  <si>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</si>
  <si>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</si>
  <si>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</si>
  <si>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</si>
  <si>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</si>
  <si>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</si>
  <si>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</si>
  <si>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</si>
  <si>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</si>
  <si>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</si>
  <si>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</si>
  <si>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</si>
  <si>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</si>
  <si>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</si>
  <si>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</si>
  <si>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</si>
  <si>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</si>
  <si>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</si>
  <si>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</si>
  <si>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</si>
  <si>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</si>
  <si>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</si>
  <si>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</si>
  <si>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</si>
  <si>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</si>
  <si>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</si>
  <si>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</si>
  <si>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</si>
  <si>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</si>
  <si>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</si>
  <si>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</si>
  <si>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</si>
  <si>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</si>
  <si>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</si>
  <si>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</si>
  <si>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</si>
  <si>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</si>
  <si>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</si>
  <si>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</si>
  <si>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</si>
  <si>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</si>
  <si>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</si>
  <si>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</si>
  <si>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</si>
  <si>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</si>
  <si>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</si>
  <si>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</si>
  <si>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</si>
  <si>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</si>
  <si>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</si>
  <si>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</si>
  <si>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</si>
  <si>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</si>
  <si>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</si>
  <si>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</si>
  <si>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</si>
  <si>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</si>
  <si>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</si>
  <si>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</si>
  <si>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</si>
  <si>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</si>
  <si>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</si>
  <si>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</si>
  <si>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</si>
  <si>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</si>
  <si>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</si>
  <si>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</si>
  <si>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</si>
  <si>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</si>
  <si>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</si>
  <si>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</si>
  <si>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</si>
  <si>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</si>
  <si>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</si>
  <si>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</si>
  <si>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</si>
  <si>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</si>
  <si>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</si>
  <si>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</si>
  <si>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</si>
  <si>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</si>
  <si>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</si>
  <si>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</si>
  <si>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</si>
  <si>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</si>
  <si>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</si>
  <si>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</si>
  <si>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</si>
  <si>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</si>
  <si>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</si>
  <si>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</si>
  <si>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</si>
  <si>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</si>
  <si>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</si>
  <si>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</si>
  <si>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</si>
  <si>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</si>
  <si>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</si>
  <si>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</si>
  <si>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</si>
  <si>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</si>
  <si>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</si>
  <si>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</si>
  <si>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</si>
  <si>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</si>
  <si>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</si>
  <si>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9301001</t>
  </si>
  <si>
    <t>Newspaper Advertising Space</t>
  </si>
  <si>
    <t>9301006</t>
  </si>
  <si>
    <t>Spec Corporate Comm Info Proj</t>
  </si>
  <si>
    <t>9301008</t>
  </si>
  <si>
    <t>Direct Mail and Handouts</t>
  </si>
  <si>
    <t>9301009</t>
  </si>
  <si>
    <t>Fairs, Shows, and Exhibits</t>
  </si>
  <si>
    <t>9301010</t>
  </si>
  <si>
    <t>Publicity</t>
  </si>
  <si>
    <t>9301014</t>
  </si>
  <si>
    <t>Video Communications</t>
  </si>
  <si>
    <t>9301015</t>
  </si>
  <si>
    <t>Other Corporate Comm Exp</t>
  </si>
  <si>
    <t>9280000</t>
  </si>
  <si>
    <t>9280002</t>
  </si>
  <si>
    <t>9301011</t>
  </si>
  <si>
    <t>Dedications, Tours, &amp; Openings</t>
  </si>
  <si>
    <t>9301013</t>
  </si>
  <si>
    <t>Movies Slide Films &amp; Speeches</t>
  </si>
  <si>
    <t xml:space="preserve">Total  </t>
  </si>
  <si>
    <t>Company</t>
  </si>
  <si>
    <t>Direct Payroll</t>
  </si>
  <si>
    <t>January</t>
  </si>
  <si>
    <t>March</t>
  </si>
  <si>
    <t>April</t>
  </si>
  <si>
    <t>May</t>
  </si>
  <si>
    <t>July</t>
  </si>
  <si>
    <t>August</t>
  </si>
  <si>
    <t xml:space="preserve">October </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</si>
  <si>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</si>
  <si>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</si>
  <si>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</si>
  <si>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</si>
  <si>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</si>
  <si>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</si>
  <si>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</si>
  <si>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</si>
  <si>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</si>
  <si>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</si>
  <si>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</si>
  <si>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</si>
  <si>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</si>
  <si>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</si>
  <si>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322 &amp; 323.164,171,178.b</t>
  </si>
  <si>
    <t>Total Effective State Income Tax Rate</t>
  </si>
  <si>
    <t>Cash Working Capital</t>
  </si>
  <si>
    <t>Capital Structure Equity Limit (Note T)</t>
  </si>
  <si>
    <t>PLANT HELD FOR FUTURE USE</t>
  </si>
  <si>
    <t>9302000</t>
  </si>
  <si>
    <t>Misc General Expenses</t>
  </si>
  <si>
    <t>9302003</t>
  </si>
  <si>
    <t>Corporate &amp; Fiscal Expenses</t>
  </si>
  <si>
    <t>9302004</t>
  </si>
  <si>
    <t>Research, Develop&amp;Demonstr Exp</t>
  </si>
  <si>
    <t>9302007</t>
  </si>
  <si>
    <t>Source</t>
  </si>
  <si>
    <t>Transmission Plant In Service</t>
  </si>
  <si>
    <t>Intangible Plant In Service</t>
  </si>
  <si>
    <t>General Plant In Service</t>
  </si>
  <si>
    <t>Transmission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</si>
  <si>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</si>
  <si>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</si>
  <si>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</si>
  <si>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</si>
  <si>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</si>
  <si>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</si>
  <si>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</si>
  <si>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</si>
  <si>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</si>
  <si>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</si>
  <si>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</si>
  <si>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</si>
  <si>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</si>
  <si>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</si>
  <si>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</si>
  <si>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</si>
  <si>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</si>
  <si>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System PBOP Rate</t>
  </si>
  <si>
    <t xml:space="preserve">Total AEP System PBOP expenses </t>
  </si>
  <si>
    <t>Total AEP System Direct Labor Expense</t>
  </si>
  <si>
    <t>AEP System PBOP expense per dollar of direct labor (PBOP Rate)</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</si>
  <si>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</si>
  <si>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</si>
  <si>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</si>
  <si>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</si>
  <si>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</si>
  <si>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</si>
  <si>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</si>
  <si>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</si>
  <si>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</si>
  <si>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</si>
  <si>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</si>
  <si>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</si>
  <si>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</si>
  <si>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</si>
  <si>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</si>
  <si>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</si>
  <si>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</si>
  <si>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</si>
  <si>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</si>
  <si>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</si>
  <si>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</si>
  <si>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</si>
  <si>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Equity Capital Share Limit</t>
  </si>
  <si>
    <t>LTD Capital Shares with Capital Equity Cap</t>
  </si>
  <si>
    <t>Preferred Stock Capital Shares</t>
  </si>
  <si>
    <t>Common Equity Capital Shares with Capital Equity Cap</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</si>
  <si>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</si>
  <si>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</si>
  <si>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</si>
  <si>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</si>
  <si>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</si>
  <si>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</si>
  <si>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</si>
  <si>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</si>
  <si>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</si>
  <si>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</si>
  <si>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</si>
  <si>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</si>
  <si>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If the percentage of equity exceeds the cap, the excess is included in weighted percentage of long term debt in the capital structure.</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</si>
  <si>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</si>
  <si>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</si>
  <si>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</si>
  <si>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</si>
  <si>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</si>
  <si>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</si>
  <si>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</si>
  <si>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</si>
  <si>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</si>
  <si>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</si>
  <si>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9301002</t>
  </si>
  <si>
    <t>Radio Station Advertising Time</t>
  </si>
  <si>
    <t>9301003</t>
  </si>
  <si>
    <t>TV Station Advertising Time</t>
  </si>
  <si>
    <t>9301005</t>
  </si>
  <si>
    <t>Radio &amp;TV Advertising Prod Exp</t>
  </si>
  <si>
    <t>9301007</t>
  </si>
  <si>
    <t>Special Adv Space &amp; Prod Exp</t>
  </si>
  <si>
    <t>Other Adjustments</t>
  </si>
  <si>
    <t xml:space="preserve">           Acct. 928 - Transmission Specific</t>
  </si>
  <si>
    <t>FERC FORM 1</t>
  </si>
  <si>
    <t>Tie-Back</t>
  </si>
  <si>
    <t>FERC FORM 1 Reference</t>
  </si>
  <si>
    <t>P.263.2 ln 4 (i)</t>
  </si>
  <si>
    <t>P.263 ln 34  (i)</t>
  </si>
  <si>
    <t>P.263 ln 35  (i)</t>
  </si>
  <si>
    <t>P.263 ln 38  (i)</t>
  </si>
  <si>
    <t>P.263 ln 39  (i)</t>
  </si>
  <si>
    <t>P.263.1 ln 2  (i)</t>
  </si>
  <si>
    <t>P.263.1 ln 3  (i)</t>
  </si>
  <si>
    <t>P.263.2 ln 21  (i)</t>
  </si>
  <si>
    <t>P.263.2 ln 22  (i)</t>
  </si>
  <si>
    <t>P.263.2 ln 24  (i)</t>
  </si>
  <si>
    <t>P.263.2 ln 25  (i)</t>
  </si>
  <si>
    <t>P.263.2 ln 26  (i)</t>
  </si>
  <si>
    <t>P.263.2 ln 27  (i)</t>
  </si>
  <si>
    <t>P.263.3 ln 3  (i)</t>
  </si>
  <si>
    <t>P.263.3 ln 4  (i)</t>
  </si>
  <si>
    <t>P.263.4 ln 12  (i)</t>
  </si>
  <si>
    <t>P.263 ln 6 (i)</t>
  </si>
  <si>
    <t>P.263 ln 9 (i)</t>
  </si>
  <si>
    <t>P.263.1 ln 23  (i)</t>
  </si>
  <si>
    <t>P.263.2 ln 33  (i)</t>
  </si>
  <si>
    <t>P.263.3 ln 16  (i)</t>
  </si>
  <si>
    <t>P.263 ln 21 (i)</t>
  </si>
  <si>
    <t>Amortization in Months</t>
  </si>
  <si>
    <t>Monthly Amortization</t>
  </si>
  <si>
    <t>Ending Balance of Regulatory Asset</t>
  </si>
  <si>
    <t>Average Balance of Regulatory Asset</t>
  </si>
  <si>
    <t xml:space="preserve">     Plus: Formation Costs Amortization</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</si>
  <si>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</si>
  <si>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</si>
  <si>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</si>
  <si>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</si>
  <si>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</si>
  <si>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</si>
  <si>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</si>
  <si>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</si>
  <si>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</si>
  <si>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</si>
  <si>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</si>
  <si>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</si>
  <si>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</si>
  <si>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</si>
  <si>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</si>
  <si>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</si>
  <si>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</si>
  <si>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30 (i)</t>
  </si>
  <si>
    <t>P.263 ln 31(i)</t>
  </si>
  <si>
    <t>P.263.2 ln 16 (i)</t>
  </si>
  <si>
    <t>P.263.2 ln 17 (i)</t>
  </si>
  <si>
    <t>P.263.3 ln 21 (i)</t>
  </si>
  <si>
    <t>P.263 ln 13 (i)</t>
  </si>
  <si>
    <t>P.263 ln 14 (i)</t>
  </si>
  <si>
    <t xml:space="preserve">NOTE 1: The detail of each total company number and its source in the FERC Form 1 is shown on WS H-1. </t>
  </si>
  <si>
    <t>WS H</t>
  </si>
  <si>
    <t>Other Edit #6</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</si>
  <si>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</si>
  <si>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</si>
  <si>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Added WS H-1 to show Form 1 Source of total company amount shown on WS H.  The total company expense amounts on WS H are now sourced from WS H-1.</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</si>
  <si>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</si>
  <si>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</si>
  <si>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</si>
  <si>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</si>
  <si>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</si>
  <si>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</si>
  <si>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</si>
  <si>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</si>
  <si>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</si>
  <si>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</si>
  <si>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</si>
  <si>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</si>
  <si>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Beginning Balance of Regulatory Asset (Note 2)</t>
  </si>
  <si>
    <t>PBOP Expenses From AEP Affiliates (From Company Records)</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</si>
  <si>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</si>
  <si>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</si>
  <si>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</si>
  <si>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</si>
  <si>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</si>
  <si>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</si>
  <si>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</si>
  <si>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</si>
  <si>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</si>
  <si>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</si>
  <si>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</si>
  <si>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</si>
  <si>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</si>
  <si>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</si>
  <si>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</si>
  <si>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</si>
  <si>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</si>
  <si>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</si>
  <si>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</si>
  <si>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</si>
  <si>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</si>
  <si>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</si>
  <si>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</si>
  <si>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</si>
  <si>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</si>
  <si>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</si>
  <si>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</si>
  <si>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</si>
  <si>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</si>
  <si>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</si>
  <si>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</si>
  <si>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</si>
  <si>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Actual after True-up</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</si>
  <si>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</si>
  <si>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</si>
  <si>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</si>
  <si>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</si>
  <si>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</si>
  <si>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</si>
  <si>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</si>
  <si>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</si>
  <si>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t xml:space="preserve"> Line Deliberately Left Blank</t>
  </si>
  <si>
    <t xml:space="preserve"> Lines 24-58 Column (B) Deliberately Left Blank</t>
  </si>
  <si>
    <t xml:space="preserve"> Lines 24-58 Column (D) Deliberately Left Blank</t>
  </si>
  <si>
    <t>Line Left Deliberately Blank</t>
  </si>
  <si>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</si>
  <si>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True Up Capitalization with Equity Caps</t>
  </si>
  <si>
    <t>Capped Actual Average Capital Structure</t>
  </si>
  <si>
    <t>Per Settlement in FERC Docket No. ER10-355-000 , Attachment A-1 to Appendix B, pg. 26, C, 7a.</t>
  </si>
  <si>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</si>
  <si>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</si>
  <si>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</si>
  <si>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</si>
  <si>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</si>
  <si>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</si>
  <si>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</si>
  <si>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</si>
  <si>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</si>
  <si>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</si>
  <si>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</si>
  <si>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</si>
  <si>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</si>
  <si>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</si>
  <si>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</si>
  <si>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</si>
  <si>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</si>
  <si>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</si>
  <si>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</si>
  <si>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</si>
  <si>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</si>
  <si>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</si>
  <si>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</si>
  <si>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</si>
  <si>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</si>
  <si>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</si>
  <si>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</si>
  <si>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</si>
  <si>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</si>
  <si>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</si>
  <si>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</si>
  <si>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</si>
  <si>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</si>
  <si>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</si>
  <si>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</si>
  <si>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</si>
  <si>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</si>
  <si>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</si>
  <si>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</si>
  <si>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</si>
  <si>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</si>
  <si>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</si>
  <si>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</si>
  <si>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</si>
  <si>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</si>
  <si>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</si>
  <si>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</si>
  <si>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</si>
  <si>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</si>
  <si>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</si>
  <si>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</si>
  <si>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</si>
  <si>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</si>
  <si>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</si>
  <si>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</si>
  <si>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</si>
  <si>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</si>
  <si>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</si>
  <si>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</si>
  <si>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</si>
  <si>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</si>
  <si>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</si>
  <si>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</si>
  <si>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</si>
  <si>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</si>
  <si>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</si>
  <si>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</si>
  <si>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</si>
  <si>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</si>
  <si>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</si>
  <si>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</si>
  <si>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</si>
  <si>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</si>
  <si>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</si>
  <si>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</si>
  <si>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</si>
  <si>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</si>
  <si>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</si>
  <si>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</si>
  <si>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</si>
  <si>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</si>
  <si>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Kentucky State Tax Rate</t>
  </si>
  <si>
    <r>
      <t xml:space="preserve">Note: </t>
    </r>
    <r>
      <rPr>
        <sz val="12"/>
        <rFont val="Arial MT"/>
        <family val="0"/>
      </rPr>
      <t>Per the Settlement in Docket No. ER10-355, Appendix A.1.2, AEP KENTUCKY TRANSMISSION COMPANY shall use the depreciation rates shown above by FERC Account until such time as the FERC approves new depreciation rates pusuant to a Section 205 or 206 filing to change rates.</t>
    </r>
  </si>
  <si>
    <t>KPCo</t>
  </si>
  <si>
    <r>
      <t>Note:</t>
    </r>
    <r>
      <rPr>
        <sz val="12"/>
        <rFont val="Arial"/>
        <family val="2"/>
      </rPr>
      <t xml:space="preserve"> AEP KENTUCKY TRANSMISSION COMPANY shall initially use the composite depreciation rate for KPCo shown above to estimate depreciation expense for transmission projects in Worksheets I, J, and K until a composite depreciation rate based on transmission plant in service and depreciation expenses recorded by AEP KENTUCKY TRANSMISSION COMPANY for its own transmission facilities can be calculated in AEP KENTUCKY TRANSMISSION COMPANY's the first Annual Update including a True-Up TCOS.</t>
    </r>
  </si>
  <si>
    <t xml:space="preserve">  Trails &amp; Roads</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</si>
  <si>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</si>
  <si>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</si>
  <si>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</si>
  <si>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</si>
  <si>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</si>
  <si>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</si>
  <si>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</si>
  <si>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</si>
  <si>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</si>
  <si>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</si>
  <si>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</si>
  <si>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</si>
  <si>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</si>
  <si>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</si>
  <si>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General Asset Retirement Obligation</t>
  </si>
  <si>
    <t>Total Property Investment Balance</t>
  </si>
  <si>
    <t>General Accumulated Depreciation</t>
  </si>
  <si>
    <t>General ARO Accumulated Depreciation</t>
  </si>
  <si>
    <t>Transmission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</si>
  <si>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</si>
  <si>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</si>
  <si>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</si>
  <si>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</si>
  <si>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</si>
  <si>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</si>
  <si>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Actual (Uncapped) Capital Structure</t>
  </si>
  <si>
    <t>ACTUAL CAPPED CAPITAL COST STRUCTURE (Note S)</t>
  </si>
  <si>
    <t>Development of Average Common Stock Balance:</t>
  </si>
  <si>
    <t>Average Common Stock</t>
  </si>
  <si>
    <t>Development of Actual Average Common Stock:</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</si>
  <si>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</si>
  <si>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</si>
  <si>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</si>
  <si>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&lt;==ROE Adder Cannot Exceed 125 Basis Points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</si>
  <si>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</si>
  <si>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</si>
  <si>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</si>
  <si>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</si>
  <si>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</si>
  <si>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</si>
  <si>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</si>
  <si>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</si>
  <si>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</si>
  <si>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</si>
  <si>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</si>
  <si>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</si>
  <si>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</si>
  <si>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</si>
  <si>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</si>
  <si>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</si>
  <si>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</si>
  <si>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</si>
  <si>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</si>
  <si>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</si>
  <si>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</si>
  <si>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P.263 ln 8 (i)</t>
  </si>
  <si>
    <t>Real and Personal Property - Kentucky</t>
  </si>
  <si>
    <t>____________ JURISDICTION</t>
  </si>
  <si>
    <t>KENTUCKY JURISDICTION</t>
  </si>
  <si>
    <t>165000212</t>
  </si>
  <si>
    <t>165000213</t>
  </si>
  <si>
    <t>Real and Personal Property</t>
  </si>
  <si>
    <t>(Note S)</t>
  </si>
  <si>
    <t xml:space="preserve">As shown on Worksheet Q, the AEP Kentucky Transmission Company capital structure and weighted cost of capital (WACC) shall be based on (1) the weighted composite of AEP East Operating Companies' actual end-of-year capital structure, including year-end outstanding long term debt (LTD) and preferred stock (PS) issuances (Projected) or the beginning and ending average capital structure, including the beginning and ending average outstanding LTD and PS issuances (True-Up) with the common equity portion as capped in Docket No. ER08-1329 where any excess common equity is priced at the cost of LTD and the composite equity ratio is further capped at 50%, and (2) the actual weighted composite LTD and PS cost using actual calendar year LTD expense and PS dividends of the AEP East Operating Companies excluding all interest rate hedging costs and/or gains, until the the Company establishes its own actual capital structure.  </t>
  </si>
  <si>
    <t xml:space="preserve">Upon establishment of actual debt financing for AEP Kentucky Transmission Company, the Company shall use its own actual capital structure capped by a 50% Common Equity Cap and its own LTD costs, excluding all interest rate hedging costs and/or gains, as computed on Worksheet L for the Projected TCOS or Worksheet M for the True Up TCOS. </t>
  </si>
  <si>
    <t>NOTE:  The balance of fair value hedges on outstanding long term debt are to be excluded from the balance of long term debt included in the formula's capital structure. (page 257, Column H of the FF1)</t>
  </si>
  <si>
    <t>P.263 ln 5 (i)</t>
  </si>
  <si>
    <t>Senior Notes, Series C, Tranche H, 4.05%</t>
  </si>
  <si>
    <t>TKYTBreaks-Rebuild Elkhorn</t>
  </si>
  <si>
    <t>December-15</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</si>
</sst>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0.000"/>
  </numFmts>
  <fonts count="128">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Arial"/>
      <family val="2"/>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2"/>
      <name val="Calibri"/>
      <family val="2"/>
    </font>
    <font>
      <sz val="10"/>
      <name val="Tahoma"/>
      <family val="2"/>
    </font>
    <font>
      <sz val="8"/>
      <name val="Tahoma"/>
      <family val="2"/>
    </font>
    <font>
      <b/>
      <i/>
      <u val="single"/>
      <sz val="10"/>
      <name val="Arial"/>
      <family val="2"/>
    </font>
    <font>
      <b/>
      <sz val="12"/>
      <name val="Arial Condensed Bold"/>
      <family val="0"/>
    </font>
    <font>
      <sz val="12"/>
      <name val="Times New Roman"/>
      <family val="1"/>
    </font>
    <font>
      <sz val="10"/>
      <color indexed="57"/>
      <name val="Arial"/>
      <family val="2"/>
    </font>
    <font>
      <sz val="10"/>
      <color indexed="17"/>
      <name val="Arial"/>
      <family val="2"/>
    </font>
    <font>
      <sz val="10"/>
      <color indexed="17"/>
      <name val="Times New Roman"/>
      <family val="1"/>
    </font>
    <font>
      <b/>
      <sz val="10"/>
      <color indexed="17"/>
      <name val="Arial"/>
      <family val="2"/>
    </font>
    <font>
      <sz val="12"/>
      <color indexed="17"/>
      <name val="Arial"/>
      <family val="2"/>
    </font>
    <font>
      <vertAlign val="superscript"/>
      <sz val="12"/>
      <color indexed="17"/>
      <name val="Arial"/>
      <family val="2"/>
    </font>
    <font>
      <b/>
      <sz val="12"/>
      <color indexed="17"/>
      <name val="Arial"/>
      <family val="2"/>
    </font>
    <font>
      <b/>
      <sz val="10"/>
      <color indexed="57"/>
      <name val="Arial"/>
      <family val="2"/>
    </font>
    <font>
      <sz val="10"/>
      <color indexed="10"/>
      <name val="Times New Roman"/>
      <family val="1"/>
    </font>
    <font>
      <sz val="10"/>
      <color indexed="8"/>
      <name val="Arial"/>
      <family val="2"/>
    </font>
    <font>
      <i/>
      <sz val="14"/>
      <name val="Arial"/>
      <family val="2"/>
    </font>
    <font>
      <sz val="12"/>
      <color indexed="8"/>
      <name val="Helv"/>
      <family val="0"/>
    </font>
    <font>
      <sz val="12"/>
      <color indexed="8"/>
      <name val="Arial"/>
      <family val="2"/>
    </font>
    <font>
      <i/>
      <sz val="14"/>
      <name val="Helv"/>
      <family val="0"/>
    </font>
    <font>
      <sz val="10"/>
      <color indexed="48"/>
      <name val="Arial"/>
      <family val="2"/>
    </font>
    <font>
      <sz val="14"/>
      <color indexed="9"/>
      <name val="Helv"/>
      <family val="0"/>
    </font>
    <font>
      <sz val="14"/>
      <color rgb="FFECECEC"/>
      <name val="Helv"/>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
      <patternFill patternType="solid">
        <fgColor rgb="FFCCFFCC"/>
        <bgColor indexed="64"/>
      </patternFill>
    </fill>
    <fill>
      <patternFill patternType="solid">
        <fgColor rgb="FFCCFFFF"/>
        <bgColor indexed="64"/>
      </patternFill>
    </fill>
  </fills>
  <borders count="3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1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06"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60">
    <xf numFmtId="0" fontId="0" fillId="0" borderId="0" xfId="0" applyAlignment="1">
      <alignment/>
    </xf>
    <xf numFmtId="172" fontId="1" fillId="0" borderId="0" xfId="126" applyFont="1" applyAlignment="1">
      <alignment/>
    </xf>
    <xf numFmtId="49" fontId="3" fillId="0" borderId="0" xfId="126" applyNumberFormat="1" applyFont="1" applyAlignment="1">
      <alignment horizontal="center"/>
    </xf>
    <xf numFmtId="3" fontId="3" fillId="0" borderId="0" xfId="126" applyNumberFormat="1" applyFont="1" applyAlignment="1">
      <alignment/>
    </xf>
    <xf numFmtId="0" fontId="4" fillId="0" borderId="0" xfId="126" applyNumberFormat="1" applyFont="1" applyAlignment="1">
      <alignment horizontal="center"/>
    </xf>
    <xf numFmtId="0" fontId="1" fillId="0" borderId="0" xfId="126" applyNumberFormat="1" applyFont="1" applyFill="1">
      <alignment/>
    </xf>
    <xf numFmtId="0" fontId="0" fillId="0" borderId="0" xfId="0" applyAlignment="1">
      <alignment horizontal="center"/>
    </xf>
    <xf numFmtId="0" fontId="3" fillId="0" borderId="0" xfId="0" applyFont="1" applyAlignment="1">
      <alignment/>
    </xf>
    <xf numFmtId="3" fontId="3" fillId="0" borderId="0" xfId="126" applyNumberFormat="1" applyFont="1" applyFill="1" applyAlignment="1">
      <alignment/>
    </xf>
    <xf numFmtId="172" fontId="1" fillId="0" borderId="0" xfId="126"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26" applyFont="1" applyAlignment="1" applyProtection="1">
      <alignment/>
      <protection locked="0"/>
    </xf>
    <xf numFmtId="172" fontId="4" fillId="0" borderId="0" xfId="126" applyFont="1" applyFill="1" applyAlignment="1" applyProtection="1">
      <alignment/>
      <protection locked="0"/>
    </xf>
    <xf numFmtId="172" fontId="3" fillId="0" borderId="0" xfId="126" applyFont="1" applyFill="1" applyAlignment="1" applyProtection="1">
      <alignment/>
      <protection locked="0"/>
    </xf>
    <xf numFmtId="172" fontId="3" fillId="0" borderId="0" xfId="126" applyFont="1" applyAlignment="1">
      <alignment/>
    </xf>
    <xf numFmtId="0" fontId="3" fillId="0" borderId="0" xfId="126" applyNumberFormat="1" applyFont="1" applyAlignment="1" applyProtection="1">
      <alignment/>
      <protection locked="0"/>
    </xf>
    <xf numFmtId="0" fontId="3" fillId="0" borderId="0" xfId="126" applyNumberFormat="1" applyFont="1" applyProtection="1">
      <alignment/>
      <protection locked="0"/>
    </xf>
    <xf numFmtId="3" fontId="3" fillId="0" borderId="0" xfId="126" applyNumberFormat="1" applyFont="1" applyAlignment="1" applyProtection="1">
      <alignment/>
      <protection locked="0"/>
    </xf>
    <xf numFmtId="0" fontId="3" fillId="0" borderId="0" xfId="126" applyNumberFormat="1" applyFont="1" applyAlignment="1" applyProtection="1">
      <alignment horizontal="center"/>
      <protection locked="0"/>
    </xf>
    <xf numFmtId="49" fontId="3" fillId="0" borderId="0" xfId="126" applyNumberFormat="1" applyFont="1" applyAlignment="1" applyProtection="1">
      <alignment horizontal="center"/>
      <protection locked="0"/>
    </xf>
    <xf numFmtId="49" fontId="3" fillId="0" borderId="0" xfId="126" applyNumberFormat="1" applyFont="1" applyProtection="1">
      <alignment/>
      <protection locked="0"/>
    </xf>
    <xf numFmtId="172" fontId="3" fillId="0" borderId="0" xfId="126" applyFont="1" applyAlignment="1" applyProtection="1">
      <alignment horizontal="center"/>
      <protection locked="0"/>
    </xf>
    <xf numFmtId="0" fontId="3" fillId="0" borderId="6" xfId="126" applyNumberFormat="1" applyFont="1" applyBorder="1" applyAlignment="1" applyProtection="1">
      <alignment horizontal="center"/>
      <protection locked="0"/>
    </xf>
    <xf numFmtId="0" fontId="3" fillId="0" borderId="0" xfId="126" applyNumberFormat="1" applyFont="1" applyBorder="1" applyAlignment="1" applyProtection="1">
      <alignment horizontal="center"/>
      <protection locked="0"/>
    </xf>
    <xf numFmtId="0" fontId="3" fillId="0" borderId="0" xfId="126" applyNumberFormat="1" applyFont="1" applyFill="1" applyProtection="1">
      <alignment/>
      <protection locked="0"/>
    </xf>
    <xf numFmtId="3" fontId="3" fillId="0" borderId="0" xfId="126" applyNumberFormat="1" applyFont="1" applyProtection="1">
      <alignment/>
      <protection locked="0"/>
    </xf>
    <xf numFmtId="0" fontId="3" fillId="0" borderId="0" xfId="126" applyNumberFormat="1" applyFont="1" applyAlignment="1" applyProtection="1">
      <alignment horizontal="left"/>
      <protection locked="0"/>
    </xf>
    <xf numFmtId="3" fontId="3" fillId="0" borderId="0" xfId="126" applyNumberFormat="1" applyFont="1" applyFill="1" applyAlignment="1" applyProtection="1">
      <alignment/>
      <protection locked="0"/>
    </xf>
    <xf numFmtId="0" fontId="3" fillId="0" borderId="6" xfId="126" applyNumberFormat="1" applyFont="1" applyBorder="1" applyAlignment="1" applyProtection="1">
      <alignment horizontal="centerContinuous"/>
      <protection locked="0"/>
    </xf>
    <xf numFmtId="166" fontId="3" fillId="0" borderId="0" xfId="126" applyNumberFormat="1" applyFont="1" applyAlignment="1" applyProtection="1">
      <alignment/>
      <protection locked="0"/>
    </xf>
    <xf numFmtId="3" fontId="3" fillId="0" borderId="0" xfId="126" applyNumberFormat="1" applyFont="1" applyAlignment="1" applyProtection="1">
      <alignment horizontal="center"/>
      <protection locked="0"/>
    </xf>
    <xf numFmtId="0" fontId="3" fillId="0" borderId="0" xfId="126" applyNumberFormat="1" applyFont="1" applyAlignment="1">
      <alignment/>
    </xf>
    <xf numFmtId="49" fontId="3" fillId="0" borderId="0" xfId="126" applyNumberFormat="1" applyFont="1" applyAlignment="1" applyProtection="1">
      <alignment horizontal="left"/>
      <protection locked="0"/>
    </xf>
    <xf numFmtId="3" fontId="4" fillId="0" borderId="0" xfId="126" applyNumberFormat="1" applyFont="1" applyAlignment="1" applyProtection="1">
      <alignment horizontal="center"/>
      <protection locked="0"/>
    </xf>
    <xf numFmtId="49" fontId="4" fillId="0" borderId="0" xfId="126" applyNumberFormat="1" applyFont="1" applyAlignment="1" applyProtection="1">
      <alignment horizontal="center"/>
      <protection locked="0"/>
    </xf>
    <xf numFmtId="172" fontId="4" fillId="0" borderId="0" xfId="126" applyFont="1" applyAlignment="1" applyProtection="1">
      <alignment horizontal="center"/>
      <protection locked="0"/>
    </xf>
    <xf numFmtId="0" fontId="4" fillId="0" borderId="0" xfId="126" applyNumberFormat="1" applyFont="1" applyAlignment="1" applyProtection="1">
      <alignment horizontal="center"/>
      <protection locked="0"/>
    </xf>
    <xf numFmtId="3" fontId="4" fillId="0" borderId="0" xfId="126" applyNumberFormat="1" applyFont="1" applyAlignment="1" applyProtection="1">
      <alignment/>
      <protection locked="0"/>
    </xf>
    <xf numFmtId="0" fontId="4" fillId="0" borderId="0" xfId="126" applyNumberFormat="1" applyFont="1" applyAlignment="1" applyProtection="1">
      <alignment/>
      <protection locked="0"/>
    </xf>
    <xf numFmtId="3" fontId="3" fillId="0" borderId="0" xfId="126" applyNumberFormat="1" applyFont="1" applyFill="1" applyBorder="1" applyAlignment="1" applyProtection="1">
      <alignment horizontal="center"/>
      <protection locked="0"/>
    </xf>
    <xf numFmtId="0" fontId="3" fillId="0" borderId="0" xfId="126" applyNumberFormat="1" applyFont="1" applyBorder="1" applyAlignment="1" applyProtection="1">
      <alignment/>
      <protection locked="0"/>
    </xf>
    <xf numFmtId="165" fontId="3" fillId="0" borderId="0" xfId="126" applyNumberFormat="1" applyFont="1" applyAlignment="1" applyProtection="1">
      <alignment/>
      <protection locked="0"/>
    </xf>
    <xf numFmtId="0" fontId="3" fillId="0" borderId="0" xfId="126" applyNumberFormat="1" applyFont="1" applyAlignment="1" applyProtection="1">
      <alignment horizontal="center" vertical="center"/>
      <protection locked="0"/>
    </xf>
    <xf numFmtId="0" fontId="3" fillId="0" borderId="0" xfId="126" applyNumberFormat="1" applyFont="1" applyBorder="1" applyAlignment="1" applyProtection="1">
      <alignment vertical="center"/>
      <protection locked="0"/>
    </xf>
    <xf numFmtId="3" fontId="3" fillId="0" borderId="0" xfId="126" applyNumberFormat="1" applyFont="1" applyFill="1" applyAlignment="1" applyProtection="1">
      <alignment vertical="center" wrapText="1"/>
      <protection locked="0"/>
    </xf>
    <xf numFmtId="3" fontId="3" fillId="0" borderId="0" xfId="126" applyNumberFormat="1" applyFont="1" applyAlignment="1" applyProtection="1">
      <alignment vertical="center"/>
      <protection locked="0"/>
    </xf>
    <xf numFmtId="164" fontId="3" fillId="0" borderId="0" xfId="126" applyNumberFormat="1" applyFont="1" applyAlignment="1" applyProtection="1">
      <alignment horizontal="center"/>
      <protection locked="0"/>
    </xf>
    <xf numFmtId="3" fontId="3" fillId="0" borderId="0" xfId="126" applyNumberFormat="1" applyFont="1" applyFill="1" applyAlignment="1" applyProtection="1">
      <alignment horizontal="center"/>
      <protection locked="0"/>
    </xf>
    <xf numFmtId="165" fontId="3" fillId="0" borderId="0" xfId="126" applyNumberFormat="1" applyFont="1" applyFill="1" applyAlignment="1" applyProtection="1">
      <alignment horizontal="right"/>
      <protection locked="0"/>
    </xf>
    <xf numFmtId="172" fontId="3" fillId="0" borderId="0" xfId="126" applyFont="1" applyBorder="1" applyAlignment="1" applyProtection="1">
      <alignment/>
      <protection locked="0"/>
    </xf>
    <xf numFmtId="164" fontId="3" fillId="0" borderId="0" xfId="126" applyNumberFormat="1" applyFont="1" applyFill="1" applyAlignment="1" applyProtection="1">
      <alignment horizontal="left"/>
      <protection locked="0"/>
    </xf>
    <xf numFmtId="175" fontId="3" fillId="0" borderId="0" xfId="126" applyNumberFormat="1" applyFont="1" applyAlignment="1">
      <alignment/>
    </xf>
    <xf numFmtId="172" fontId="4" fillId="0" borderId="0" xfId="126" applyFont="1" applyAlignment="1">
      <alignment/>
    </xf>
    <xf numFmtId="0" fontId="10" fillId="0" borderId="0" xfId="126" applyNumberFormat="1" applyFont="1" applyAlignment="1" applyProtection="1">
      <alignment horizontal="center"/>
      <protection locked="0"/>
    </xf>
    <xf numFmtId="3" fontId="10" fillId="0" borderId="0" xfId="126" applyNumberFormat="1" applyFont="1" applyAlignment="1" applyProtection="1">
      <alignment/>
      <protection locked="0"/>
    </xf>
    <xf numFmtId="0" fontId="3" fillId="0" borderId="0" xfId="126" applyNumberFormat="1" applyFont="1" applyFill="1" applyAlignment="1" applyProtection="1">
      <alignment/>
      <protection locked="0"/>
    </xf>
    <xf numFmtId="3" fontId="3" fillId="0" borderId="0" xfId="126" applyNumberFormat="1" applyFont="1" applyAlignment="1" applyProtection="1">
      <alignment vertical="center" wrapText="1"/>
      <protection locked="0"/>
    </xf>
    <xf numFmtId="172" fontId="3" fillId="0" borderId="0" xfId="126" applyFont="1" applyFill="1" applyAlignment="1">
      <alignment/>
    </xf>
    <xf numFmtId="164" fontId="3" fillId="0" borderId="0" xfId="126" applyNumberFormat="1" applyFont="1" applyBorder="1" applyAlignment="1" applyProtection="1">
      <alignment horizontal="left"/>
      <protection locked="0"/>
    </xf>
    <xf numFmtId="0" fontId="3" fillId="0" borderId="0" xfId="126" applyNumberFormat="1" applyFont="1" applyFill="1" applyBorder="1" applyAlignment="1" applyProtection="1">
      <alignment/>
      <protection locked="0"/>
    </xf>
    <xf numFmtId="164" fontId="3" fillId="0" borderId="0" xfId="126" applyNumberFormat="1" applyFont="1" applyFill="1" applyBorder="1" applyAlignment="1" applyProtection="1">
      <alignment horizontal="left"/>
      <protection locked="0"/>
    </xf>
    <xf numFmtId="10" fontId="3" fillId="0" borderId="0" xfId="126" applyNumberFormat="1" applyFont="1" applyFill="1" applyAlignment="1" applyProtection="1">
      <alignment horizontal="left"/>
      <protection locked="0"/>
    </xf>
    <xf numFmtId="167" fontId="3" fillId="0" borderId="0" xfId="126" applyNumberFormat="1" applyFont="1" applyAlignment="1" applyProtection="1">
      <alignment/>
      <protection locked="0"/>
    </xf>
    <xf numFmtId="3" fontId="3" fillId="0" borderId="0" xfId="126" applyNumberFormat="1" applyFont="1" applyAlignment="1" applyProtection="1">
      <alignment horizontal="right"/>
      <protection locked="0"/>
    </xf>
    <xf numFmtId="0" fontId="4" fillId="0" borderId="0" xfId="126" applyNumberFormat="1" applyFont="1" applyBorder="1" applyAlignment="1" applyProtection="1">
      <alignment horizontal="left"/>
      <protection locked="0"/>
    </xf>
    <xf numFmtId="14" fontId="4" fillId="0" borderId="0" xfId="126" applyNumberFormat="1" applyFont="1" applyBorder="1" applyAlignment="1" applyProtection="1">
      <alignment/>
      <protection locked="0"/>
    </xf>
    <xf numFmtId="172" fontId="3" fillId="0" borderId="0" xfId="126" applyNumberFormat="1" applyFont="1" applyAlignment="1" applyProtection="1">
      <alignment/>
      <protection locked="0"/>
    </xf>
    <xf numFmtId="170" fontId="3" fillId="0" borderId="0" xfId="126" applyNumberFormat="1" applyFont="1" applyProtection="1">
      <alignment/>
      <protection locked="0"/>
    </xf>
    <xf numFmtId="0" fontId="4" fillId="0" borderId="0" xfId="126" applyNumberFormat="1" applyFont="1" applyFill="1" applyAlignment="1" applyProtection="1">
      <alignment/>
      <protection locked="0"/>
    </xf>
    <xf numFmtId="0" fontId="3" fillId="0" borderId="0" xfId="126" applyNumberFormat="1" applyFont="1" applyFill="1" applyBorder="1" applyProtection="1">
      <alignment/>
      <protection locked="0"/>
    </xf>
    <xf numFmtId="3" fontId="3" fillId="0" borderId="0" xfId="126" applyNumberFormat="1" applyFont="1" applyFill="1" applyBorder="1" applyAlignment="1" applyProtection="1">
      <alignment/>
      <protection locked="0"/>
    </xf>
    <xf numFmtId="172" fontId="3" fillId="0" borderId="0" xfId="126" applyFont="1" applyFill="1" applyBorder="1" applyAlignment="1" applyProtection="1">
      <alignment/>
      <protection locked="0"/>
    </xf>
    <xf numFmtId="172" fontId="3" fillId="0" borderId="0" xfId="126" applyFont="1" applyFill="1" applyBorder="1" applyAlignment="1" applyProtection="1">
      <alignment horizontal="center"/>
      <protection locked="0"/>
    </xf>
    <xf numFmtId="49" fontId="3" fillId="0" borderId="0" xfId="126" applyNumberFormat="1" applyFont="1" applyFill="1" applyBorder="1" applyProtection="1">
      <alignment/>
      <protection locked="0"/>
    </xf>
    <xf numFmtId="0" fontId="3" fillId="0" borderId="0" xfId="126" applyNumberFormat="1" applyFont="1" applyFill="1" applyBorder="1" applyAlignment="1" applyProtection="1">
      <alignment horizontal="center"/>
      <protection locked="0"/>
    </xf>
    <xf numFmtId="49" fontId="3" fillId="0" borderId="0" xfId="126" applyNumberFormat="1" applyFont="1" applyFill="1" applyBorder="1" applyAlignment="1" applyProtection="1">
      <alignment/>
      <protection locked="0"/>
    </xf>
    <xf numFmtId="49" fontId="3" fillId="0" borderId="0" xfId="126" applyNumberFormat="1" applyFont="1" applyFill="1" applyBorder="1" applyAlignment="1" applyProtection="1">
      <alignment horizontal="center"/>
      <protection locked="0"/>
    </xf>
    <xf numFmtId="165" fontId="4" fillId="0" borderId="0" xfId="126" applyNumberFormat="1" applyFont="1" applyFill="1" applyBorder="1" applyAlignment="1" applyProtection="1">
      <alignment horizontal="right"/>
      <protection locked="0"/>
    </xf>
    <xf numFmtId="0" fontId="3" fillId="0" borderId="0" xfId="126" applyNumberFormat="1" applyFont="1" applyFill="1" applyAlignment="1" applyProtection="1">
      <alignment horizontal="center"/>
      <protection locked="0"/>
    </xf>
    <xf numFmtId="166" fontId="4" fillId="0" borderId="0" xfId="126" applyNumberFormat="1" applyFont="1" applyFill="1" applyProtection="1">
      <alignment/>
      <protection locked="0"/>
    </xf>
    <xf numFmtId="4" fontId="3" fillId="0" borderId="0" xfId="126" applyNumberFormat="1" applyFont="1" applyAlignment="1" applyProtection="1">
      <alignment/>
      <protection locked="0"/>
    </xf>
    <xf numFmtId="3" fontId="3" fillId="0" borderId="0" xfId="126" applyNumberFormat="1" applyFont="1" applyAlignment="1" applyProtection="1" quotePrefix="1">
      <alignment/>
      <protection locked="0"/>
    </xf>
    <xf numFmtId="3" fontId="4" fillId="0" borderId="0" xfId="126" applyNumberFormat="1" applyFont="1" applyAlignment="1" applyProtection="1" quotePrefix="1">
      <alignment/>
      <protection locked="0"/>
    </xf>
    <xf numFmtId="172" fontId="3" fillId="0" borderId="0" xfId="126" applyFont="1" applyFill="1" applyAlignment="1" applyProtection="1">
      <alignment horizontal="center"/>
      <protection locked="0"/>
    </xf>
    <xf numFmtId="0" fontId="3" fillId="0" borderId="0" xfId="126"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26" applyNumberFormat="1" applyFont="1" applyFill="1" applyProtection="1">
      <alignment/>
      <protection locked="0"/>
    </xf>
    <xf numFmtId="172" fontId="1" fillId="0" borderId="0" xfId="126" applyFont="1" applyAlignment="1" applyProtection="1">
      <alignment/>
      <protection locked="0"/>
    </xf>
    <xf numFmtId="0" fontId="1" fillId="0" borderId="0" xfId="126" applyNumberFormat="1" applyFont="1" applyAlignment="1" applyProtection="1">
      <alignment horizontal="center"/>
      <protection locked="0"/>
    </xf>
    <xf numFmtId="0" fontId="1" fillId="0" borderId="6" xfId="126" applyNumberFormat="1" applyFont="1" applyBorder="1" applyAlignment="1" applyProtection="1">
      <alignment horizontal="center"/>
      <protection locked="0"/>
    </xf>
    <xf numFmtId="0" fontId="1" fillId="0" borderId="0" xfId="126" applyNumberFormat="1" applyFont="1" applyAlignment="1" applyProtection="1">
      <alignment horizontal="center" vertical="center"/>
      <protection locked="0"/>
    </xf>
    <xf numFmtId="0" fontId="1" fillId="0" borderId="0" xfId="0" applyFont="1" applyAlignment="1">
      <alignment/>
    </xf>
    <xf numFmtId="0" fontId="1" fillId="0" borderId="0" xfId="126" applyNumberFormat="1" applyFont="1" applyFill="1" applyAlignment="1" applyProtection="1">
      <alignment horizontal="center"/>
      <protection locked="0"/>
    </xf>
    <xf numFmtId="0" fontId="1" fillId="0" borderId="0" xfId="126" applyNumberFormat="1" applyFont="1" applyBorder="1" applyAlignment="1" applyProtection="1">
      <alignment horizontal="center"/>
      <protection locked="0"/>
    </xf>
    <xf numFmtId="172" fontId="1" fillId="0" borderId="0" xfId="126" applyFont="1" applyFill="1" applyAlignment="1" applyProtection="1">
      <alignment horizontal="center"/>
      <protection locked="0"/>
    </xf>
    <xf numFmtId="172" fontId="1" fillId="0" borderId="0" xfId="126" applyFont="1" applyFill="1" applyAlignment="1" applyProtection="1">
      <alignment/>
      <protection locked="0"/>
    </xf>
    <xf numFmtId="0" fontId="3" fillId="0" borderId="0" xfId="126"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26" applyNumberFormat="1" applyFont="1" applyAlignment="1" applyProtection="1">
      <alignment horizontal="left"/>
      <protection locked="0"/>
    </xf>
    <xf numFmtId="42" fontId="3" fillId="0" borderId="0" xfId="126" applyNumberFormat="1" applyFont="1" applyAlignment="1" applyProtection="1">
      <alignment/>
      <protection locked="0"/>
    </xf>
    <xf numFmtId="41" fontId="3" fillId="0" borderId="0" xfId="126" applyNumberFormat="1" applyFont="1" applyAlignment="1" applyProtection="1">
      <alignment/>
      <protection locked="0"/>
    </xf>
    <xf numFmtId="41" fontId="3" fillId="0" borderId="6" xfId="126" applyNumberFormat="1" applyFont="1" applyBorder="1" applyAlignment="1" applyProtection="1">
      <alignment/>
      <protection locked="0"/>
    </xf>
    <xf numFmtId="178" fontId="4" fillId="0" borderId="0" xfId="126" applyNumberFormat="1" applyFont="1" applyFill="1" applyAlignment="1" applyProtection="1">
      <alignment horizontal="right"/>
      <protection locked="0"/>
    </xf>
    <xf numFmtId="0" fontId="9" fillId="0" borderId="0" xfId="123" applyFont="1" applyFill="1" applyAlignment="1">
      <alignment horizontal="center"/>
      <protection/>
    </xf>
    <xf numFmtId="0" fontId="14" fillId="0" borderId="0" xfId="123" applyFont="1" applyFill="1">
      <alignment/>
      <protection/>
    </xf>
    <xf numFmtId="9" fontId="9" fillId="0" borderId="0" xfId="123" applyNumberFormat="1" applyFont="1" applyFill="1" applyAlignment="1" quotePrefix="1">
      <alignment horizontal="center"/>
      <protection/>
    </xf>
    <xf numFmtId="0" fontId="16" fillId="0" borderId="0" xfId="123" applyFont="1" applyAlignment="1">
      <alignment horizontal="right"/>
      <protection/>
    </xf>
    <xf numFmtId="0" fontId="16" fillId="0" borderId="0" xfId="123" applyFont="1" applyAlignment="1">
      <alignment horizontal="center"/>
      <protection/>
    </xf>
    <xf numFmtId="0" fontId="16" fillId="0" borderId="0" xfId="123" applyFont="1" applyFill="1" applyAlignment="1">
      <alignment horizontal="center"/>
      <protection/>
    </xf>
    <xf numFmtId="9" fontId="9" fillId="0" borderId="0" xfId="123" applyNumberFormat="1" applyFont="1" applyFill="1" applyAlignment="1">
      <alignment horizontal="center"/>
      <protection/>
    </xf>
    <xf numFmtId="172" fontId="10" fillId="0" borderId="0" xfId="126" applyFont="1" applyBorder="1" applyAlignment="1" applyProtection="1">
      <alignment horizontal="center"/>
      <protection locked="0"/>
    </xf>
    <xf numFmtId="172" fontId="1" fillId="0" borderId="0" xfId="126" applyFont="1" applyAlignment="1" applyProtection="1">
      <alignment horizontal="center"/>
      <protection locked="0"/>
    </xf>
    <xf numFmtId="41" fontId="3" fillId="0" borderId="13" xfId="126" applyNumberFormat="1" applyFont="1" applyBorder="1" applyAlignment="1" applyProtection="1">
      <alignment/>
      <protection locked="0"/>
    </xf>
    <xf numFmtId="41" fontId="3" fillId="0" borderId="0" xfId="126" applyNumberFormat="1" applyFont="1" applyAlignment="1" applyProtection="1">
      <alignment vertical="center"/>
      <protection locked="0"/>
    </xf>
    <xf numFmtId="3" fontId="10" fillId="0" borderId="0" xfId="126" applyNumberFormat="1" applyFont="1" applyAlignment="1" applyProtection="1">
      <alignment horizontal="center"/>
      <protection locked="0"/>
    </xf>
    <xf numFmtId="41" fontId="3" fillId="0" borderId="0" xfId="126" applyNumberFormat="1" applyFont="1" applyFill="1" applyAlignment="1" applyProtection="1">
      <alignment/>
      <protection locked="0"/>
    </xf>
    <xf numFmtId="41" fontId="3" fillId="0" borderId="6" xfId="126" applyNumberFormat="1" applyFont="1" applyFill="1" applyBorder="1" applyAlignment="1" applyProtection="1">
      <alignment/>
      <protection locked="0"/>
    </xf>
    <xf numFmtId="3" fontId="3" fillId="0" borderId="0" xfId="126" applyNumberFormat="1" applyFont="1" applyFill="1" applyBorder="1" applyAlignment="1" applyProtection="1">
      <alignment horizontal="left"/>
      <protection locked="0"/>
    </xf>
    <xf numFmtId="0" fontId="3" fillId="0" borderId="0" xfId="126" applyNumberFormat="1" applyFont="1" applyFill="1" applyBorder="1" applyAlignment="1" applyProtection="1">
      <alignment horizontal="left"/>
      <protection locked="0"/>
    </xf>
    <xf numFmtId="172" fontId="4" fillId="0" borderId="0" xfId="126" applyFont="1" applyAlignment="1">
      <alignment horizontal="right"/>
    </xf>
    <xf numFmtId="165" fontId="4" fillId="0" borderId="0" xfId="126" applyNumberFormat="1" applyFont="1" applyAlignment="1">
      <alignment/>
    </xf>
    <xf numFmtId="41" fontId="3" fillId="0" borderId="0" xfId="126" applyNumberFormat="1" applyFont="1" applyAlignment="1" applyProtection="1">
      <alignment horizontal="center"/>
      <protection locked="0"/>
    </xf>
    <xf numFmtId="41" fontId="3" fillId="0" borderId="0" xfId="126" applyNumberFormat="1" applyFont="1" applyFill="1" applyBorder="1" applyAlignment="1" applyProtection="1">
      <alignment/>
      <protection locked="0"/>
    </xf>
    <xf numFmtId="172" fontId="3" fillId="0" borderId="0" xfId="126" applyFont="1" applyFill="1" applyAlignment="1" applyProtection="1">
      <alignment horizontal="right"/>
      <protection locked="0"/>
    </xf>
    <xf numFmtId="41" fontId="3" fillId="0" borderId="0" xfId="126" applyNumberFormat="1" applyFont="1" applyFill="1" applyAlignment="1" applyProtection="1">
      <alignment horizontal="right"/>
      <protection locked="0"/>
    </xf>
    <xf numFmtId="41" fontId="3" fillId="0" borderId="0" xfId="126"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26" applyNumberFormat="1" applyFont="1" applyAlignment="1" applyProtection="1">
      <alignment/>
      <protection locked="0"/>
    </xf>
    <xf numFmtId="172" fontId="3" fillId="0" borderId="0" xfId="126" applyFont="1" applyAlignment="1">
      <alignment horizontal="center"/>
    </xf>
    <xf numFmtId="3" fontId="3" fillId="0" borderId="0" xfId="126" applyNumberFormat="1" applyFont="1" applyFill="1" applyProtection="1">
      <alignment/>
      <protection locked="0"/>
    </xf>
    <xf numFmtId="0" fontId="3" fillId="0" borderId="0" xfId="0" applyFont="1" applyFill="1" applyAlignment="1">
      <alignment horizontal="left"/>
    </xf>
    <xf numFmtId="41" fontId="3" fillId="0" borderId="0" xfId="126" applyNumberFormat="1" applyFont="1" applyBorder="1" applyAlignment="1" applyProtection="1">
      <alignment/>
      <protection locked="0"/>
    </xf>
    <xf numFmtId="172" fontId="3" fillId="0" borderId="0" xfId="126"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0" fillId="0" borderId="0" xfId="123" applyFont="1" applyFill="1">
      <alignment/>
      <protection/>
    </xf>
    <xf numFmtId="41" fontId="0" fillId="0" borderId="0" xfId="123" applyNumberFormat="1" applyFont="1" applyFill="1">
      <alignment/>
      <protection/>
    </xf>
    <xf numFmtId="0" fontId="14" fillId="0" borderId="0" xfId="123" applyFont="1" applyFill="1" applyAlignment="1">
      <alignment horizontal="left"/>
      <protection/>
    </xf>
    <xf numFmtId="3" fontId="0" fillId="0" borderId="0" xfId="0" applyNumberFormat="1" applyFont="1" applyFill="1" applyAlignment="1">
      <alignment/>
    </xf>
    <xf numFmtId="0" fontId="3" fillId="0" borderId="0" xfId="123" applyFont="1" applyFill="1" applyAlignment="1">
      <alignment horizontal="right"/>
      <protection/>
    </xf>
    <xf numFmtId="40" fontId="0" fillId="0" borderId="0" xfId="0" applyNumberFormat="1" applyFont="1" applyFill="1" applyAlignment="1">
      <alignment/>
    </xf>
    <xf numFmtId="42" fontId="3" fillId="0" borderId="0" xfId="126"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26" applyNumberFormat="1" applyFont="1" applyAlignment="1" applyProtection="1">
      <alignment/>
      <protection locked="0"/>
    </xf>
    <xf numFmtId="172" fontId="21" fillId="0" borderId="0" xfId="126" applyFont="1" applyAlignment="1">
      <alignment/>
    </xf>
    <xf numFmtId="168" fontId="3" fillId="0" borderId="0" xfId="126" applyNumberFormat="1" applyFont="1" applyFill="1" applyAlignment="1" applyProtection="1">
      <alignment horizontal="left"/>
      <protection locked="0"/>
    </xf>
    <xf numFmtId="0" fontId="0" fillId="0" borderId="0" xfId="123"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23" applyFont="1" applyFill="1">
      <alignment/>
      <protection/>
    </xf>
    <xf numFmtId="0" fontId="9" fillId="0" borderId="0" xfId="123" applyFont="1" applyFill="1" applyBorder="1" applyAlignment="1">
      <alignment horizontal="left"/>
      <protection/>
    </xf>
    <xf numFmtId="0" fontId="9" fillId="0" borderId="0" xfId="123" applyFont="1" applyFill="1" applyBorder="1">
      <alignment/>
      <protection/>
    </xf>
    <xf numFmtId="0" fontId="0" fillId="0" borderId="0" xfId="123" applyFont="1" applyAlignment="1">
      <alignment horizontal="left"/>
      <protection/>
    </xf>
    <xf numFmtId="0" fontId="4" fillId="0" borderId="0" xfId="123"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23" applyNumberFormat="1" applyFont="1" applyFill="1" applyBorder="1">
      <alignment/>
      <protection/>
    </xf>
    <xf numFmtId="0" fontId="24" fillId="0" borderId="0" xfId="123" applyFont="1" applyFill="1" applyAlignment="1">
      <alignment horizontal="left"/>
      <protection/>
    </xf>
    <xf numFmtId="0" fontId="3" fillId="0" borderId="0" xfId="123" applyFont="1" applyFill="1">
      <alignment/>
      <protection/>
    </xf>
    <xf numFmtId="41" fontId="3" fillId="0" borderId="0" xfId="123" applyNumberFormat="1" applyFont="1" applyFill="1">
      <alignment/>
      <protection/>
    </xf>
    <xf numFmtId="41" fontId="3" fillId="0" borderId="0" xfId="123" applyNumberFormat="1" applyFont="1" applyFill="1" applyBorder="1" applyAlignment="1">
      <alignment vertical="top"/>
      <protection/>
    </xf>
    <xf numFmtId="181" fontId="3" fillId="0" borderId="0" xfId="123" applyNumberFormat="1" applyFont="1" applyFill="1">
      <alignment/>
      <protection/>
    </xf>
    <xf numFmtId="41" fontId="3" fillId="0" borderId="0" xfId="123" applyNumberFormat="1" applyFont="1" applyFill="1" applyBorder="1">
      <alignment/>
      <protection/>
    </xf>
    <xf numFmtId="0" fontId="3" fillId="0" borderId="0" xfId="123" applyFont="1" applyFill="1" applyAlignment="1">
      <alignment horizontal="left"/>
      <protection/>
    </xf>
    <xf numFmtId="0" fontId="25" fillId="0" borderId="0" xfId="123" applyFont="1" applyFill="1" applyBorder="1">
      <alignment/>
      <protection/>
    </xf>
    <xf numFmtId="0" fontId="3" fillId="0" borderId="0" xfId="123" applyFont="1" applyFill="1" applyAlignment="1">
      <alignment horizontal="center"/>
      <protection/>
    </xf>
    <xf numFmtId="0" fontId="10" fillId="0" borderId="0" xfId="123" applyFont="1" applyFill="1" applyAlignment="1">
      <alignment horizontal="center"/>
      <protection/>
    </xf>
    <xf numFmtId="173" fontId="3" fillId="0" borderId="0" xfId="123" applyNumberFormat="1" applyFont="1" applyFill="1">
      <alignment/>
      <protection/>
    </xf>
    <xf numFmtId="173" fontId="3" fillId="0" borderId="0" xfId="123" applyNumberFormat="1" applyFont="1" applyFill="1" applyBorder="1" applyAlignment="1">
      <alignment vertical="top"/>
      <protection/>
    </xf>
    <xf numFmtId="41" fontId="3" fillId="0" borderId="15" xfId="123" applyNumberFormat="1" applyFont="1" applyFill="1" applyBorder="1">
      <alignment/>
      <protection/>
    </xf>
    <xf numFmtId="173" fontId="4" fillId="0" borderId="0" xfId="73" applyNumberFormat="1" applyFont="1" applyFill="1" applyAlignment="1">
      <alignment horizontal="center"/>
    </xf>
    <xf numFmtId="0" fontId="3" fillId="0" borderId="0" xfId="123" applyFont="1" applyFill="1" applyAlignment="1">
      <alignment horizontal="center"/>
      <protection/>
    </xf>
    <xf numFmtId="0" fontId="26" fillId="0" borderId="0" xfId="123" applyFont="1" applyFill="1" applyBorder="1">
      <alignment/>
      <protection/>
    </xf>
    <xf numFmtId="174" fontId="0" fillId="0" borderId="0" xfId="0" applyNumberFormat="1" applyAlignment="1">
      <alignment/>
    </xf>
    <xf numFmtId="0" fontId="10" fillId="0" borderId="0" xfId="123" applyFont="1" applyAlignment="1">
      <alignment horizontal="center"/>
      <protection/>
    </xf>
    <xf numFmtId="41" fontId="3" fillId="0" borderId="15" xfId="123" applyNumberFormat="1" applyFont="1" applyFill="1" applyBorder="1">
      <alignment/>
      <protection/>
    </xf>
    <xf numFmtId="0" fontId="3" fillId="0" borderId="0" xfId="126" applyNumberFormat="1" applyFont="1" applyFill="1" applyAlignment="1">
      <alignment horizontal="center"/>
    </xf>
    <xf numFmtId="166" fontId="3" fillId="0" borderId="0" xfId="126" applyNumberFormat="1" applyFont="1" applyFill="1">
      <alignment/>
    </xf>
    <xf numFmtId="1" fontId="3" fillId="0" borderId="0" xfId="126" applyNumberFormat="1" applyFont="1" applyFill="1">
      <alignment/>
    </xf>
    <xf numFmtId="172" fontId="10" fillId="0" borderId="0" xfId="126" applyFont="1" applyAlignment="1" applyProtection="1">
      <alignment horizontal="center"/>
      <protection locked="0"/>
    </xf>
    <xf numFmtId="41" fontId="3" fillId="0" borderId="0" xfId="126" applyNumberFormat="1" applyFont="1" applyAlignment="1" applyProtection="1">
      <alignment horizontal="right"/>
      <protection locked="0"/>
    </xf>
    <xf numFmtId="43" fontId="0" fillId="0" borderId="0" xfId="0" applyNumberFormat="1" applyAlignment="1">
      <alignment/>
    </xf>
    <xf numFmtId="178" fontId="3" fillId="0" borderId="0" xfId="126" applyNumberFormat="1" applyFont="1" applyAlignment="1">
      <alignment/>
    </xf>
    <xf numFmtId="38" fontId="0" fillId="0" borderId="0" xfId="0" applyNumberFormat="1" applyFont="1" applyFill="1" applyBorder="1" applyAlignment="1">
      <alignment/>
    </xf>
    <xf numFmtId="172" fontId="3" fillId="0" borderId="0" xfId="126"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26" applyNumberFormat="1" applyFont="1" applyFill="1" applyAlignment="1" applyProtection="1">
      <alignment horizontal="center" vertical="center"/>
      <protection locked="0"/>
    </xf>
    <xf numFmtId="0" fontId="3" fillId="0" borderId="0" xfId="126" applyNumberFormat="1" applyFont="1" applyFill="1" applyAlignment="1" applyProtection="1">
      <alignment horizontal="center" vertical="center"/>
      <protection locked="0"/>
    </xf>
    <xf numFmtId="3" fontId="3" fillId="0" borderId="0" xfId="126" applyNumberFormat="1" applyFont="1" applyFill="1" applyAlignment="1" applyProtection="1">
      <alignment horizontal="center" wrapText="1"/>
      <protection locked="0"/>
    </xf>
    <xf numFmtId="41" fontId="3" fillId="0" borderId="0" xfId="126" applyNumberFormat="1" applyFont="1" applyFill="1" applyAlignment="1" applyProtection="1">
      <alignment horizontal="center"/>
      <protection locked="0"/>
    </xf>
    <xf numFmtId="3" fontId="3" fillId="0" borderId="6" xfId="126"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0" fontId="1" fillId="0" borderId="0" xfId="130" applyFont="1">
      <alignment/>
      <protection/>
    </xf>
    <xf numFmtId="0" fontId="3" fillId="0" borderId="0" xfId="130" applyFont="1" applyAlignment="1">
      <alignment horizontal="center"/>
      <protection/>
    </xf>
    <xf numFmtId="0" fontId="3" fillId="0" borderId="0" xfId="130" applyFont="1">
      <alignment/>
      <protection/>
    </xf>
    <xf numFmtId="43" fontId="3" fillId="0" borderId="0" xfId="83" applyFont="1" applyFill="1" applyAlignment="1">
      <alignment/>
    </xf>
    <xf numFmtId="173" fontId="3" fillId="0" borderId="0" xfId="130" applyNumberFormat="1" applyFont="1" applyBorder="1">
      <alignment/>
      <protection/>
    </xf>
    <xf numFmtId="40" fontId="3" fillId="0" borderId="0" xfId="123"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183" fontId="0" fillId="0" borderId="0" xfId="0" applyNumberFormat="1" applyFont="1" applyFill="1" applyAlignment="1">
      <alignment horizontal="right"/>
    </xf>
    <xf numFmtId="8" fontId="0" fillId="0" borderId="0" xfId="0" applyNumberFormat="1" applyFont="1" applyFill="1" applyAlignment="1">
      <alignment/>
    </xf>
    <xf numFmtId="43" fontId="3" fillId="0" borderId="0" xfId="123" applyNumberFormat="1" applyFont="1" applyFill="1">
      <alignment/>
      <protection/>
    </xf>
    <xf numFmtId="3" fontId="3" fillId="0" borderId="0" xfId="0" applyNumberFormat="1" applyFont="1" applyFill="1" applyAlignment="1">
      <alignment/>
    </xf>
    <xf numFmtId="41" fontId="18" fillId="20" borderId="0" xfId="123" applyNumberFormat="1" applyFont="1" applyFill="1" applyBorder="1">
      <alignment/>
      <protection/>
    </xf>
    <xf numFmtId="0" fontId="0" fillId="0" borderId="0" xfId="0" applyFill="1" applyAlignment="1">
      <alignment horizontal="center"/>
    </xf>
    <xf numFmtId="173" fontId="0" fillId="0" borderId="0" xfId="0" applyNumberFormat="1" applyBorder="1" applyAlignment="1">
      <alignment/>
    </xf>
    <xf numFmtId="0" fontId="7" fillId="0" borderId="0" xfId="113" applyFont="1" applyFill="1" applyBorder="1" applyAlignment="1">
      <alignment horizontal="left"/>
      <protection/>
    </xf>
    <xf numFmtId="0" fontId="0" fillId="0" borderId="0" xfId="113" applyNumberFormat="1" applyFont="1" applyFill="1" applyBorder="1" applyAlignment="1">
      <alignment/>
      <protection/>
    </xf>
    <xf numFmtId="0" fontId="0" fillId="0" borderId="0" xfId="113" applyFont="1" applyBorder="1" applyAlignment="1">
      <alignment/>
      <protection/>
    </xf>
    <xf numFmtId="0" fontId="0" fillId="0" borderId="0" xfId="113" applyFont="1" applyBorder="1" applyAlignment="1">
      <alignment horizontal="center"/>
      <protection/>
    </xf>
    <xf numFmtId="0" fontId="0" fillId="0" borderId="0" xfId="113" applyFont="1" applyBorder="1">
      <alignment/>
      <protection/>
    </xf>
    <xf numFmtId="0" fontId="0" fillId="0" borderId="0" xfId="113" applyNumberFormat="1" applyFont="1" applyFill="1" applyBorder="1" applyAlignment="1">
      <alignment horizontal="left"/>
      <protection/>
    </xf>
    <xf numFmtId="0" fontId="9" fillId="0" borderId="0" xfId="113" applyNumberFormat="1" applyFont="1" applyFill="1" applyBorder="1" applyAlignment="1">
      <alignment horizontal="left"/>
      <protection/>
    </xf>
    <xf numFmtId="3" fontId="8" fillId="0" borderId="0" xfId="113" applyNumberFormat="1" applyFont="1" applyFill="1" applyBorder="1" applyAlignment="1">
      <alignment horizontal="center"/>
      <protection/>
    </xf>
    <xf numFmtId="0" fontId="8" fillId="0" borderId="0" xfId="113" applyNumberFormat="1" applyFont="1" applyFill="1" applyBorder="1" applyAlignment="1">
      <alignment horizontal="center"/>
      <protection/>
    </xf>
    <xf numFmtId="0" fontId="0" fillId="0" borderId="0" xfId="113" applyFont="1" applyFill="1" applyBorder="1" applyAlignment="1">
      <alignment horizontal="center" wrapText="1"/>
      <protection/>
    </xf>
    <xf numFmtId="3" fontId="0" fillId="0" borderId="0" xfId="113" applyNumberFormat="1" applyFont="1" applyFill="1" applyBorder="1" applyAlignment="1">
      <alignment/>
      <protection/>
    </xf>
    <xf numFmtId="0" fontId="0" fillId="0" borderId="0" xfId="113" applyFont="1" applyFill="1" applyBorder="1" applyAlignment="1">
      <alignment/>
      <protection/>
    </xf>
    <xf numFmtId="0" fontId="16" fillId="0" borderId="0" xfId="113" applyNumberFormat="1" applyFont="1" applyFill="1" applyBorder="1" applyAlignment="1">
      <alignment horizontal="left"/>
      <protection/>
    </xf>
    <xf numFmtId="0" fontId="0" fillId="0" borderId="0" xfId="113"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13" applyFont="1" applyFill="1" applyBorder="1" applyAlignment="1">
      <alignment/>
      <protection/>
    </xf>
    <xf numFmtId="0" fontId="0" fillId="0" borderId="0" xfId="113" applyFont="1" applyFill="1" applyBorder="1">
      <alignment/>
      <protection/>
    </xf>
    <xf numFmtId="0" fontId="9" fillId="0" borderId="0" xfId="113" applyFont="1" applyBorder="1" applyAlignment="1">
      <alignment/>
      <protection/>
    </xf>
    <xf numFmtId="0" fontId="9" fillId="0" borderId="0" xfId="113" applyNumberFormat="1" applyFont="1" applyFill="1" applyBorder="1" applyAlignment="1">
      <alignment horizontal="center"/>
      <protection/>
    </xf>
    <xf numFmtId="164" fontId="0" fillId="0" borderId="0" xfId="136" applyNumberFormat="1" applyFont="1" applyFill="1" applyBorder="1" applyAlignment="1">
      <alignment/>
    </xf>
    <xf numFmtId="173" fontId="0" fillId="0" borderId="0" xfId="76" applyNumberFormat="1" applyFont="1" applyFill="1" applyBorder="1" applyAlignment="1">
      <alignment horizontal="left"/>
    </xf>
    <xf numFmtId="0" fontId="0" fillId="0" borderId="0" xfId="113" applyFont="1" applyFill="1" applyBorder="1" applyAlignment="1">
      <alignment horizontal="center"/>
      <protection/>
    </xf>
    <xf numFmtId="3" fontId="0" fillId="0" borderId="0" xfId="113" applyNumberFormat="1" applyFont="1" applyFill="1" applyBorder="1" applyAlignment="1">
      <alignment horizontal="right"/>
      <protection/>
    </xf>
    <xf numFmtId="3" fontId="0" fillId="0" borderId="0" xfId="113" applyNumberFormat="1" applyFont="1" applyFill="1" applyBorder="1" applyAlignment="1">
      <alignment horizontal="center"/>
      <protection/>
    </xf>
    <xf numFmtId="1" fontId="0" fillId="0" borderId="0" xfId="113"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26" applyNumberFormat="1" applyFont="1" applyFill="1" applyAlignment="1" applyProtection="1">
      <alignment horizontal="left"/>
      <protection locked="0"/>
    </xf>
    <xf numFmtId="0" fontId="3" fillId="0" borderId="6" xfId="126" applyNumberFormat="1" applyFont="1" applyFill="1" applyBorder="1" applyAlignment="1" applyProtection="1">
      <alignment horizontal="center"/>
      <protection locked="0"/>
    </xf>
    <xf numFmtId="3" fontId="4" fillId="0" borderId="0" xfId="126" applyNumberFormat="1" applyFont="1" applyFill="1" applyAlignment="1" applyProtection="1">
      <alignment horizontal="right"/>
      <protection locked="0"/>
    </xf>
    <xf numFmtId="0" fontId="18" fillId="0" borderId="0" xfId="123" applyFont="1" applyFill="1">
      <alignment/>
      <protection/>
    </xf>
    <xf numFmtId="0" fontId="9" fillId="0" borderId="0" xfId="113" applyFont="1" applyBorder="1" applyAlignment="1" quotePrefix="1">
      <alignment horizontal="center"/>
      <protection/>
    </xf>
    <xf numFmtId="0" fontId="9" fillId="0" borderId="0" xfId="113" applyFont="1" applyFill="1" applyBorder="1" applyAlignment="1" quotePrefix="1">
      <alignment horizontal="center"/>
      <protection/>
    </xf>
    <xf numFmtId="0" fontId="16" fillId="0" borderId="0" xfId="113" applyFont="1" applyBorder="1" applyAlignment="1">
      <alignment horizontal="center"/>
      <protection/>
    </xf>
    <xf numFmtId="0" fontId="20" fillId="0" borderId="0" xfId="113" applyFont="1" applyFill="1" applyBorder="1" applyAlignment="1">
      <alignment horizontal="center" wrapText="1"/>
      <protection/>
    </xf>
    <xf numFmtId="172" fontId="1" fillId="0" borderId="0" xfId="128" applyBorder="1" applyAlignment="1">
      <alignment/>
    </xf>
    <xf numFmtId="173" fontId="0" fillId="0" borderId="0" xfId="113" applyNumberFormat="1" applyFont="1" applyFill="1" applyBorder="1" applyAlignment="1">
      <alignment/>
      <protection/>
    </xf>
    <xf numFmtId="173" fontId="0" fillId="0" borderId="0" xfId="113" applyNumberFormat="1" applyFont="1" applyFill="1" applyBorder="1" applyAlignment="1">
      <alignment horizontal="right"/>
      <protection/>
    </xf>
    <xf numFmtId="0" fontId="16" fillId="0" borderId="0" xfId="113" applyFont="1" applyFill="1" applyBorder="1" applyAlignment="1">
      <alignment horizontal="left"/>
      <protection/>
    </xf>
    <xf numFmtId="0" fontId="9" fillId="0" borderId="0" xfId="113" applyFont="1" applyFill="1" applyBorder="1" applyAlignment="1">
      <alignment horizontal="left"/>
      <protection/>
    </xf>
    <xf numFmtId="0" fontId="9" fillId="0" borderId="0" xfId="113"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13" applyFont="1" applyBorder="1" applyAlignment="1">
      <alignment horizontal="center"/>
      <protection/>
    </xf>
    <xf numFmtId="0" fontId="0" fillId="0" borderId="0" xfId="123" applyFont="1" applyAlignment="1">
      <alignment horizontal="center"/>
      <protection/>
    </xf>
    <xf numFmtId="0" fontId="9" fillId="0" borderId="0" xfId="0" applyFont="1" applyFill="1" applyAlignment="1">
      <alignment horizontal="center"/>
    </xf>
    <xf numFmtId="0" fontId="3" fillId="0" borderId="0" xfId="113" applyFont="1" applyBorder="1" applyAlignment="1">
      <alignment horizontal="center"/>
      <protection/>
    </xf>
    <xf numFmtId="49" fontId="3" fillId="0" borderId="0" xfId="123"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26"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26"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26" applyNumberFormat="1" applyFont="1" applyFill="1" applyAlignment="1" applyProtection="1">
      <alignment horizontal="center" vertical="center"/>
      <protection locked="0"/>
    </xf>
    <xf numFmtId="41" fontId="3" fillId="0" borderId="0" xfId="126" applyNumberFormat="1" applyFont="1" applyFill="1" applyAlignment="1" applyProtection="1">
      <alignment vertical="center"/>
      <protection locked="0"/>
    </xf>
    <xf numFmtId="0" fontId="1" fillId="0" borderId="0" xfId="0" applyFont="1" applyAlignment="1">
      <alignment/>
    </xf>
    <xf numFmtId="0" fontId="9" fillId="0" borderId="0" xfId="113" applyFont="1" applyBorder="1">
      <alignment/>
      <protection/>
    </xf>
    <xf numFmtId="42" fontId="3" fillId="0" borderId="14" xfId="126" applyNumberFormat="1" applyFont="1" applyBorder="1" applyAlignment="1" applyProtection="1">
      <alignment/>
      <protection locked="0"/>
    </xf>
    <xf numFmtId="3" fontId="21" fillId="0" borderId="0" xfId="126" applyNumberFormat="1" applyFont="1" applyFill="1" applyAlignment="1" applyProtection="1">
      <alignment horizontal="left"/>
      <protection locked="0"/>
    </xf>
    <xf numFmtId="0" fontId="13" fillId="0" borderId="0" xfId="126" applyNumberFormat="1" applyFont="1" applyFill="1" applyBorder="1" applyAlignment="1" applyProtection="1">
      <alignment horizontal="left"/>
      <protection locked="0"/>
    </xf>
    <xf numFmtId="3" fontId="4" fillId="0" borderId="0" xfId="126" applyNumberFormat="1" applyFont="1" applyFill="1" applyAlignment="1" applyProtection="1">
      <alignment/>
      <protection locked="0"/>
    </xf>
    <xf numFmtId="172" fontId="4" fillId="0" borderId="0" xfId="126" applyFont="1" applyFill="1" applyAlignment="1" applyProtection="1">
      <alignment horizontal="right"/>
      <protection locked="0"/>
    </xf>
    <xf numFmtId="182" fontId="4" fillId="0" borderId="0" xfId="73" applyNumberFormat="1" applyFont="1" applyFill="1" applyAlignment="1" applyProtection="1">
      <alignment/>
      <protection locked="0"/>
    </xf>
    <xf numFmtId="185" fontId="3" fillId="0" borderId="0" xfId="126" applyNumberFormat="1" applyFont="1" applyFill="1" applyAlignment="1" applyProtection="1">
      <alignment/>
      <protection locked="0"/>
    </xf>
    <xf numFmtId="184" fontId="3" fillId="0" borderId="0" xfId="126" applyNumberFormat="1" applyFont="1" applyFill="1" applyAlignment="1" applyProtection="1">
      <alignment/>
      <protection locked="0"/>
    </xf>
    <xf numFmtId="3" fontId="4" fillId="0" borderId="0" xfId="126" applyNumberFormat="1" applyFont="1" applyFill="1" applyAlignment="1" applyProtection="1">
      <alignment horizontal="right" vertical="center"/>
      <protection locked="0"/>
    </xf>
    <xf numFmtId="165" fontId="3" fillId="0" borderId="0" xfId="126" applyNumberFormat="1" applyFont="1" applyFill="1" applyAlignment="1" applyProtection="1">
      <alignment/>
      <protection locked="0"/>
    </xf>
    <xf numFmtId="164" fontId="3" fillId="0" borderId="0" xfId="126"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34" applyNumberFormat="1" applyFont="1" applyFill="1" applyAlignment="1" applyProtection="1">
      <alignment/>
      <protection locked="0"/>
    </xf>
    <xf numFmtId="172" fontId="1" fillId="0" borderId="0" xfId="128" applyFill="1" applyBorder="1" applyAlignment="1">
      <alignment/>
    </xf>
    <xf numFmtId="43" fontId="0" fillId="0" borderId="15" xfId="0" applyNumberFormat="1" applyBorder="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3" fontId="10" fillId="0" borderId="0" xfId="0" applyNumberFormat="1" applyFont="1" applyFill="1" applyAlignment="1">
      <alignment horizontal="center"/>
    </xf>
    <xf numFmtId="0" fontId="0" fillId="0" borderId="6" xfId="0" applyBorder="1" applyAlignment="1">
      <alignment/>
    </xf>
    <xf numFmtId="0" fontId="3" fillId="0" borderId="0" xfId="0" applyNumberFormat="1" applyFont="1" applyFill="1" applyAlignment="1">
      <alignment/>
    </xf>
    <xf numFmtId="3" fontId="3" fillId="0" borderId="0" xfId="126" applyNumberFormat="1" applyFont="1" applyFill="1" applyAlignment="1" applyProtection="1">
      <alignment horizontal="left"/>
      <protection locked="0"/>
    </xf>
    <xf numFmtId="42" fontId="3" fillId="0" borderId="0" xfId="126" applyNumberFormat="1" applyFont="1" applyFill="1" applyAlignment="1" applyProtection="1">
      <alignment/>
      <protection locked="0"/>
    </xf>
    <xf numFmtId="43" fontId="3" fillId="0" borderId="0" xfId="73" applyFont="1" applyAlignment="1" applyProtection="1">
      <alignment/>
      <protection locked="0"/>
    </xf>
    <xf numFmtId="171" fontId="3" fillId="0" borderId="0" xfId="126" applyNumberFormat="1" applyFont="1" applyProtection="1">
      <alignment/>
      <protection locked="0"/>
    </xf>
    <xf numFmtId="10" fontId="3" fillId="0" borderId="0" xfId="126" applyNumberFormat="1" applyFont="1" applyAlignment="1" applyProtection="1">
      <alignment/>
      <protection locked="0"/>
    </xf>
    <xf numFmtId="10" fontId="3" fillId="0" borderId="0" xfId="126"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26" applyNumberFormat="1" applyFont="1" applyBorder="1" applyAlignment="1" applyProtection="1">
      <alignment/>
      <protection locked="0"/>
    </xf>
    <xf numFmtId="3" fontId="0" fillId="0" borderId="0" xfId="126" applyNumberFormat="1" applyFont="1" applyAlignment="1" applyProtection="1">
      <alignment/>
      <protection locked="0"/>
    </xf>
    <xf numFmtId="172" fontId="0" fillId="0" borderId="0" xfId="126" applyFont="1" applyAlignment="1" applyProtection="1">
      <alignment/>
      <protection locked="0"/>
    </xf>
    <xf numFmtId="172" fontId="0" fillId="0" borderId="0" xfId="126" applyFont="1" applyBorder="1" applyAlignment="1" applyProtection="1">
      <alignment/>
      <protection locked="0"/>
    </xf>
    <xf numFmtId="10" fontId="0" fillId="0" borderId="0" xfId="126" applyNumberFormat="1" applyFont="1" applyFill="1" applyAlignment="1" applyProtection="1">
      <alignment horizontal="right"/>
      <protection locked="0"/>
    </xf>
    <xf numFmtId="172" fontId="0" fillId="0" borderId="16" xfId="126" applyFont="1" applyBorder="1" applyAlignment="1" applyProtection="1">
      <alignment/>
      <protection locked="0"/>
    </xf>
    <xf numFmtId="3" fontId="0" fillId="0" borderId="17" xfId="126" applyNumberFormat="1" applyFont="1" applyBorder="1" applyAlignment="1" applyProtection="1">
      <alignment/>
      <protection locked="0"/>
    </xf>
    <xf numFmtId="3" fontId="12" fillId="0" borderId="0" xfId="126" applyNumberFormat="1" applyFont="1" applyAlignment="1" applyProtection="1">
      <alignment horizontal="center"/>
      <protection locked="0"/>
    </xf>
    <xf numFmtId="10" fontId="12" fillId="0" borderId="0" xfId="126" applyNumberFormat="1" applyFont="1" applyFill="1" applyAlignment="1" applyProtection="1">
      <alignment horizontal="center"/>
      <protection locked="0"/>
    </xf>
    <xf numFmtId="0" fontId="0" fillId="0" borderId="0" xfId="126"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26" applyNumberFormat="1" applyFont="1" applyAlignment="1" applyProtection="1">
      <alignment horizontal="center"/>
      <protection locked="0"/>
    </xf>
    <xf numFmtId="166" fontId="0" fillId="0" borderId="0" xfId="126" applyNumberFormat="1" applyFont="1" applyBorder="1" applyAlignment="1" applyProtection="1">
      <alignment horizontal="center"/>
      <protection locked="0"/>
    </xf>
    <xf numFmtId="41" fontId="0" fillId="0" borderId="0" xfId="126" applyNumberFormat="1" applyFont="1" applyAlignment="1" applyProtection="1">
      <alignment/>
      <protection locked="0"/>
    </xf>
    <xf numFmtId="41" fontId="0" fillId="0" borderId="0" xfId="126" applyNumberFormat="1" applyFont="1" applyAlignment="1" applyProtection="1">
      <alignment horizontal="center"/>
      <protection locked="0"/>
    </xf>
    <xf numFmtId="41" fontId="0" fillId="0" borderId="0" xfId="126" applyNumberFormat="1" applyFont="1" applyBorder="1" applyAlignment="1" applyProtection="1">
      <alignment horizontal="center"/>
      <protection locked="0"/>
    </xf>
    <xf numFmtId="0" fontId="0" fillId="0" borderId="0" xfId="126" applyNumberFormat="1" applyFont="1" applyBorder="1" applyAlignment="1" applyProtection="1">
      <alignment horizontal="right"/>
      <protection locked="0"/>
    </xf>
    <xf numFmtId="3" fontId="0" fillId="0" borderId="0" xfId="126" applyNumberFormat="1" applyFont="1" applyAlignment="1" applyProtection="1">
      <alignment horizontal="right"/>
      <protection locked="0"/>
    </xf>
    <xf numFmtId="10" fontId="0" fillId="0" borderId="0" xfId="126" applyNumberFormat="1" applyFont="1" applyFill="1" applyAlignment="1" applyProtection="1">
      <alignment horizontal="left"/>
      <protection locked="0"/>
    </xf>
    <xf numFmtId="41" fontId="0" fillId="0" borderId="0" xfId="126" applyNumberFormat="1" applyFont="1" applyBorder="1" applyAlignment="1" applyProtection="1">
      <alignment/>
      <protection locked="0"/>
    </xf>
    <xf numFmtId="41" fontId="0" fillId="0" borderId="0" xfId="126" applyNumberFormat="1" applyFont="1" applyFill="1" applyAlignment="1" applyProtection="1">
      <alignment/>
      <protection locked="0"/>
    </xf>
    <xf numFmtId="0" fontId="0" fillId="0" borderId="0" xfId="0" applyFont="1" applyBorder="1" applyAlignment="1">
      <alignment/>
    </xf>
    <xf numFmtId="41" fontId="0" fillId="0" borderId="0" xfId="126" applyNumberFormat="1" applyFont="1" applyFill="1" applyAlignment="1" applyProtection="1">
      <alignment horizontal="left"/>
      <protection locked="0"/>
    </xf>
    <xf numFmtId="41" fontId="0" fillId="0" borderId="0" xfId="126" applyNumberFormat="1" applyFont="1" applyFill="1" applyBorder="1" applyAlignment="1" applyProtection="1">
      <alignment horizontal="right"/>
      <protection locked="0"/>
    </xf>
    <xf numFmtId="167" fontId="0" fillId="0" borderId="0" xfId="126" applyNumberFormat="1" applyFont="1" applyAlignment="1" applyProtection="1">
      <alignment/>
      <protection locked="0"/>
    </xf>
    <xf numFmtId="164" fontId="0" fillId="0" borderId="0" xfId="126" applyNumberFormat="1" applyFont="1" applyFill="1" applyBorder="1" applyAlignment="1" applyProtection="1">
      <alignment horizontal="left"/>
      <protection locked="0"/>
    </xf>
    <xf numFmtId="164" fontId="0" fillId="0" borderId="0" xfId="126" applyNumberFormat="1" applyFont="1" applyBorder="1" applyAlignment="1" applyProtection="1">
      <alignment horizontal="left"/>
      <protection locked="0"/>
    </xf>
    <xf numFmtId="3" fontId="0" fillId="0" borderId="0" xfId="126" applyNumberFormat="1" applyFont="1" applyAlignment="1" applyProtection="1">
      <alignment vertical="center" wrapText="1"/>
      <protection locked="0"/>
    </xf>
    <xf numFmtId="41" fontId="0" fillId="0" borderId="0" xfId="126" applyNumberFormat="1" applyFont="1" applyBorder="1" applyAlignment="1" applyProtection="1">
      <alignment vertical="center"/>
      <protection locked="0"/>
    </xf>
    <xf numFmtId="41" fontId="0" fillId="0" borderId="0" xfId="126" applyNumberFormat="1" applyFont="1" applyBorder="1" applyAlignment="1" applyProtection="1">
      <alignment horizontal="center" vertical="center"/>
      <protection locked="0"/>
    </xf>
    <xf numFmtId="41" fontId="0" fillId="0" borderId="0" xfId="126"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26" applyNumberFormat="1" applyFont="1" applyFill="1" applyBorder="1" applyAlignment="1" applyProtection="1">
      <alignment/>
      <protection locked="0"/>
    </xf>
    <xf numFmtId="0" fontId="0"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protection locked="0"/>
    </xf>
    <xf numFmtId="41" fontId="0" fillId="0" borderId="0" xfId="126" applyNumberFormat="1" applyFont="1" applyFill="1" applyBorder="1" applyAlignment="1" applyProtection="1">
      <alignment horizontal="center"/>
      <protection locked="0"/>
    </xf>
    <xf numFmtId="0" fontId="0" fillId="0" borderId="0" xfId="126" applyNumberFormat="1" applyFont="1" applyFill="1" applyBorder="1" applyProtection="1">
      <alignment/>
      <protection locked="0"/>
    </xf>
    <xf numFmtId="41" fontId="12" fillId="0" borderId="0" xfId="126" applyNumberFormat="1" applyFont="1" applyFill="1" applyBorder="1" applyAlignment="1" applyProtection="1">
      <alignment/>
      <protection locked="0"/>
    </xf>
    <xf numFmtId="3" fontId="0" fillId="0" borderId="0" xfId="126" applyNumberFormat="1" applyFont="1" applyFill="1" applyBorder="1" applyAlignment="1" applyProtection="1">
      <alignment horizontal="center"/>
      <protection locked="0"/>
    </xf>
    <xf numFmtId="0" fontId="0" fillId="0" borderId="0" xfId="126" applyNumberFormat="1" applyFont="1" applyFill="1" applyBorder="1" applyAlignment="1" applyProtection="1">
      <alignment horizontal="center"/>
      <protection locked="0"/>
    </xf>
    <xf numFmtId="10" fontId="0" fillId="0" borderId="0" xfId="126" applyNumberFormat="1" applyFont="1" applyFill="1" applyBorder="1" applyAlignment="1" applyProtection="1">
      <alignment/>
      <protection locked="0"/>
    </xf>
    <xf numFmtId="169" fontId="0" fillId="0" borderId="0" xfId="126" applyNumberFormat="1" applyFont="1" applyFill="1" applyBorder="1" applyAlignment="1" applyProtection="1">
      <alignment/>
      <protection locked="0"/>
    </xf>
    <xf numFmtId="172" fontId="0" fillId="0" borderId="0" xfId="126" applyFont="1" applyFill="1" applyBorder="1" applyAlignment="1" applyProtection="1">
      <alignment/>
      <protection locked="0"/>
    </xf>
    <xf numFmtId="169" fontId="9" fillId="0" borderId="0" xfId="126"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5"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34"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0" fontId="65" fillId="0" borderId="0" xfId="0" applyFont="1" applyAlignment="1">
      <alignment horizontal="lef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26" applyNumberFormat="1" applyFont="1" applyFill="1" applyAlignment="1" applyProtection="1">
      <alignment horizontal="right"/>
      <protection locked="0"/>
    </xf>
    <xf numFmtId="179" fontId="3" fillId="0" borderId="0" xfId="126" applyNumberFormat="1" applyFont="1" applyFill="1" applyAlignment="1" applyProtection="1">
      <alignment horizontal="right"/>
      <protection locked="0"/>
    </xf>
    <xf numFmtId="10" fontId="0" fillId="0" borderId="0" xfId="0" applyNumberFormat="1" applyAlignment="1">
      <alignment/>
    </xf>
    <xf numFmtId="186" fontId="17" fillId="0" borderId="0" xfId="127" applyNumberFormat="1" applyFont="1">
      <alignment/>
      <protection/>
    </xf>
    <xf numFmtId="0" fontId="67" fillId="0" borderId="0" xfId="127" applyFont="1">
      <alignment/>
      <protection/>
    </xf>
    <xf numFmtId="186" fontId="17" fillId="0" borderId="0" xfId="127" applyNumberFormat="1" applyFont="1" applyAlignment="1">
      <alignment horizontal="center"/>
      <protection/>
    </xf>
    <xf numFmtId="0" fontId="0" fillId="0" borderId="0" xfId="127" applyFont="1">
      <alignment/>
      <protection/>
    </xf>
    <xf numFmtId="0" fontId="17" fillId="0" borderId="0" xfId="127" applyFont="1">
      <alignment/>
      <protection/>
    </xf>
    <xf numFmtId="0" fontId="17" fillId="0" borderId="0" xfId="127" applyNumberFormat="1" applyFont="1" applyAlignment="1">
      <alignment horizontal="center"/>
      <protection/>
    </xf>
    <xf numFmtId="0" fontId="17" fillId="0" borderId="0" xfId="127" applyNumberFormat="1" applyFont="1">
      <alignment/>
      <protection/>
    </xf>
    <xf numFmtId="0" fontId="17" fillId="0" borderId="0" xfId="127" applyNumberFormat="1" applyFont="1" applyBorder="1" applyAlignment="1">
      <alignment horizontal="center"/>
      <protection/>
    </xf>
    <xf numFmtId="186" fontId="68" fillId="0" borderId="0" xfId="127" applyNumberFormat="1" applyFont="1">
      <alignment/>
      <protection/>
    </xf>
    <xf numFmtId="0" fontId="69" fillId="0" borderId="0" xfId="127" applyFont="1">
      <alignment/>
      <protection/>
    </xf>
    <xf numFmtId="173" fontId="67" fillId="0" borderId="0" xfId="127" applyNumberFormat="1" applyFont="1">
      <alignment/>
      <protection/>
    </xf>
    <xf numFmtId="0" fontId="70" fillId="0" borderId="0" xfId="127" applyFont="1">
      <alignment/>
      <protection/>
    </xf>
    <xf numFmtId="186" fontId="0" fillId="0" borderId="0" xfId="127" applyNumberFormat="1" applyFont="1">
      <alignment/>
      <protection/>
    </xf>
    <xf numFmtId="0" fontId="17" fillId="0" borderId="0" xfId="124" applyFont="1" applyFill="1" applyAlignment="1">
      <alignment horizontal="center"/>
      <protection/>
    </xf>
    <xf numFmtId="0" fontId="17" fillId="0" borderId="0" xfId="124" applyFont="1" applyFill="1" applyAlignment="1">
      <alignment horizontal="left" indent="2"/>
      <protection/>
    </xf>
    <xf numFmtId="39" fontId="17" fillId="0" borderId="0" xfId="124" applyNumberFormat="1" applyFont="1" applyFill="1">
      <alignment/>
      <protection/>
    </xf>
    <xf numFmtId="0" fontId="67" fillId="0" borderId="0" xfId="127" applyFont="1" applyFill="1">
      <alignment/>
      <protection/>
    </xf>
    <xf numFmtId="0" fontId="0" fillId="0" borderId="0" xfId="127" applyNumberFormat="1" applyFont="1" applyAlignment="1">
      <alignment horizontal="center"/>
      <protection/>
    </xf>
    <xf numFmtId="0" fontId="0" fillId="0" borderId="0" xfId="127" applyNumberFormat="1" applyFont="1">
      <alignment/>
      <protection/>
    </xf>
    <xf numFmtId="43" fontId="67" fillId="0" borderId="0" xfId="73" applyFont="1" applyAlignment="1">
      <alignment/>
    </xf>
    <xf numFmtId="173" fontId="71" fillId="0" borderId="0" xfId="127" applyNumberFormat="1" applyFont="1">
      <alignment/>
      <protection/>
    </xf>
    <xf numFmtId="186" fontId="3" fillId="0" borderId="0" xfId="127"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27" applyNumberFormat="1" applyFont="1" applyBorder="1">
      <alignment/>
      <protection/>
    </xf>
    <xf numFmtId="10" fontId="3" fillId="0" borderId="14" xfId="0" applyNumberFormat="1" applyFont="1" applyFill="1" applyBorder="1" applyAlignment="1">
      <alignment/>
    </xf>
    <xf numFmtId="0" fontId="74" fillId="0" borderId="0" xfId="127" applyFont="1" applyAlignment="1">
      <alignment horizontal="center"/>
      <protection/>
    </xf>
    <xf numFmtId="49" fontId="3" fillId="0" borderId="0" xfId="113" applyNumberFormat="1" applyFont="1" applyBorder="1" applyAlignment="1">
      <alignment horizontal="center"/>
      <protection/>
    </xf>
    <xf numFmtId="3" fontId="3" fillId="0" borderId="0" xfId="0" applyNumberFormat="1" applyFont="1" applyBorder="1" applyAlignment="1">
      <alignment horizontal="center"/>
    </xf>
    <xf numFmtId="0" fontId="3" fillId="0" borderId="0" xfId="0" applyNumberFormat="1" applyFont="1" applyFill="1" applyAlignment="1">
      <alignment/>
    </xf>
    <xf numFmtId="0" fontId="3" fillId="0" borderId="0" xfId="126" applyNumberFormat="1" applyFont="1" applyFill="1" applyBorder="1" applyAlignment="1" applyProtection="1">
      <alignment vertical="center"/>
      <protection locked="0"/>
    </xf>
    <xf numFmtId="0" fontId="3" fillId="0" borderId="0" xfId="126"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90" fontId="21" fillId="0" borderId="0" xfId="126"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26" applyNumberFormat="1" applyFont="1" applyAlignment="1" applyProtection="1">
      <alignment horizontal="center"/>
      <protection locked="0"/>
    </xf>
    <xf numFmtId="14" fontId="20" fillId="0" borderId="0" xfId="113"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3" fontId="16" fillId="0" borderId="0" xfId="113" applyNumberFormat="1" applyFont="1" applyBorder="1" applyAlignment="1">
      <alignment horizontal="center"/>
      <protection/>
    </xf>
    <xf numFmtId="41" fontId="4" fillId="20" borderId="0" xfId="126" applyNumberFormat="1" applyFont="1" applyFill="1" applyAlignment="1" applyProtection="1">
      <alignment horizontal="center" vertical="center"/>
      <protection locked="0"/>
    </xf>
    <xf numFmtId="172" fontId="21" fillId="0" borderId="0" xfId="126" applyFont="1" applyAlignment="1" applyProtection="1">
      <alignment/>
      <protection locked="0"/>
    </xf>
    <xf numFmtId="3" fontId="21" fillId="0" borderId="0" xfId="126" applyNumberFormat="1" applyFont="1" applyAlignment="1" applyProtection="1">
      <alignment/>
      <protection locked="0"/>
    </xf>
    <xf numFmtId="41" fontId="0" fillId="0" borderId="0" xfId="123" applyNumberFormat="1" applyFont="1">
      <alignment/>
      <protection/>
    </xf>
    <xf numFmtId="173" fontId="0" fillId="0" borderId="0" xfId="73" applyNumberFormat="1" applyFont="1" applyFill="1" applyAlignment="1">
      <alignment/>
    </xf>
    <xf numFmtId="0" fontId="9" fillId="0" borderId="0" xfId="123" applyFont="1" applyAlignment="1">
      <alignment horizontal="center" wrapText="1"/>
      <protection/>
    </xf>
    <xf numFmtId="38" fontId="0" fillId="0" borderId="0" xfId="0" applyNumberFormat="1" applyFont="1" applyFill="1" applyBorder="1" applyAlignment="1">
      <alignment horizontal="center"/>
    </xf>
    <xf numFmtId="0" fontId="0" fillId="0" borderId="0" xfId="123" applyFill="1" applyAlignment="1">
      <alignment horizontal="left"/>
      <protection/>
    </xf>
    <xf numFmtId="0" fontId="75" fillId="0" borderId="0" xfId="123" applyFont="1" applyFill="1" applyBorder="1" applyAlignment="1">
      <alignment horizontal="left"/>
      <protection/>
    </xf>
    <xf numFmtId="0" fontId="0" fillId="0" borderId="0" xfId="123" applyFill="1">
      <alignment/>
      <protection/>
    </xf>
    <xf numFmtId="0" fontId="75" fillId="0" borderId="0" xfId="123" applyFont="1" applyFill="1" applyBorder="1">
      <alignment/>
      <protection/>
    </xf>
    <xf numFmtId="0" fontId="65" fillId="0" borderId="0" xfId="123"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13" applyNumberFormat="1" applyFont="1" applyFill="1" applyBorder="1" applyAlignment="1">
      <alignment horizontal="left"/>
      <protection/>
    </xf>
    <xf numFmtId="38" fontId="0" fillId="0" borderId="0" xfId="113" applyNumberFormat="1" applyFont="1" applyFill="1" applyBorder="1" applyAlignment="1">
      <alignment horizontal="right"/>
      <protection/>
    </xf>
    <xf numFmtId="0" fontId="0" fillId="0" borderId="0" xfId="113"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13" applyFont="1" applyBorder="1" applyAlignment="1">
      <alignment horizontal="center"/>
      <protection/>
    </xf>
    <xf numFmtId="38" fontId="8" fillId="0" borderId="0" xfId="113" applyNumberFormat="1" applyFont="1" applyFill="1" applyBorder="1" applyAlignment="1">
      <alignment/>
      <protection/>
    </xf>
    <xf numFmtId="173" fontId="8" fillId="0" borderId="14" xfId="73" applyNumberFormat="1" applyFont="1" applyFill="1" applyBorder="1" applyAlignment="1">
      <alignment/>
    </xf>
    <xf numFmtId="0" fontId="0" fillId="0" borderId="14" xfId="113" applyNumberFormat="1" applyFont="1" applyFill="1" applyBorder="1" applyAlignment="1">
      <alignment horizontal="left"/>
      <protection/>
    </xf>
    <xf numFmtId="0" fontId="1" fillId="0" borderId="0" xfId="126" applyNumberFormat="1" applyFont="1" applyFill="1" applyBorder="1" applyAlignment="1" applyProtection="1">
      <alignment horizontal="center"/>
      <protection locked="0"/>
    </xf>
    <xf numFmtId="3" fontId="21" fillId="0" borderId="0" xfId="126" applyNumberFormat="1" applyFont="1" applyFill="1" applyAlignment="1" applyProtection="1">
      <alignment/>
      <protection locked="0"/>
    </xf>
    <xf numFmtId="168" fontId="3" fillId="0" borderId="0" xfId="126" applyNumberFormat="1" applyFont="1" applyAlignment="1" applyProtection="1">
      <alignment/>
      <protection locked="0"/>
    </xf>
    <xf numFmtId="0" fontId="17" fillId="0" borderId="0" xfId="127" applyNumberFormat="1" applyFont="1" applyFill="1" applyAlignment="1">
      <alignment horizontal="center"/>
      <protection/>
    </xf>
    <xf numFmtId="0" fontId="0" fillId="0" borderId="0" xfId="127" applyNumberFormat="1" applyFont="1" applyFill="1">
      <alignment/>
      <protection/>
    </xf>
    <xf numFmtId="41" fontId="67" fillId="0" borderId="0" xfId="127" applyNumberFormat="1" applyFont="1" applyFill="1">
      <alignment/>
      <protection/>
    </xf>
    <xf numFmtId="41" fontId="67" fillId="0" borderId="0" xfId="127" applyNumberFormat="1" applyFont="1" applyFill="1" applyBorder="1">
      <alignment/>
      <protection/>
    </xf>
    <xf numFmtId="173" fontId="67" fillId="0" borderId="0" xfId="127" applyNumberFormat="1" applyFont="1" applyFill="1">
      <alignment/>
      <protection/>
    </xf>
    <xf numFmtId="10" fontId="67" fillId="0" borderId="11" xfId="134"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0" fontId="9" fillId="0" borderId="0" xfId="0" applyFont="1" applyAlignment="1">
      <alignment horizontal="center" wrapText="1"/>
    </xf>
    <xf numFmtId="0" fontId="9" fillId="0" borderId="0" xfId="0" applyFont="1" applyAlignment="1">
      <alignment wrapText="1"/>
    </xf>
    <xf numFmtId="10" fontId="8" fillId="0" borderId="0" xfId="134" applyNumberFormat="1" applyFont="1" applyAlignment="1">
      <alignment/>
    </xf>
    <xf numFmtId="174" fontId="0" fillId="0" borderId="0" xfId="85" applyNumberFormat="1" applyAlignment="1">
      <alignment/>
    </xf>
    <xf numFmtId="174" fontId="0" fillId="0" borderId="14" xfId="0" applyNumberFormat="1" applyBorder="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0" xfId="73" applyNumberFormat="1" applyFont="1" applyAlignment="1">
      <alignment horizontal="right"/>
    </xf>
    <xf numFmtId="173" fontId="0" fillId="0" borderId="23" xfId="73" applyNumberFormat="1" applyFont="1" applyFill="1" applyBorder="1" applyAlignment="1">
      <alignment/>
    </xf>
    <xf numFmtId="10" fontId="0" fillId="0" borderId="0" xfId="134" applyNumberFormat="1" applyFont="1" applyAlignment="1">
      <alignment horizontal="right"/>
    </xf>
    <xf numFmtId="10" fontId="0" fillId="0" borderId="0" xfId="134" applyNumberFormat="1" applyFont="1" applyFill="1" applyAlignment="1" applyProtection="1">
      <alignment horizontal="right"/>
      <protection locked="0"/>
    </xf>
    <xf numFmtId="0" fontId="14" fillId="0" borderId="0" xfId="123" applyFont="1">
      <alignment/>
      <protection/>
    </xf>
    <xf numFmtId="0" fontId="0" fillId="0" borderId="0" xfId="123" applyAlignment="1">
      <alignment horizontal="left"/>
      <protection/>
    </xf>
    <xf numFmtId="0" fontId="0" fillId="0" borderId="0" xfId="123">
      <alignment/>
      <protection/>
    </xf>
    <xf numFmtId="0" fontId="14" fillId="0" borderId="0" xfId="123" applyFont="1" applyAlignment="1">
      <alignment horizontal="left"/>
      <protection/>
    </xf>
    <xf numFmtId="0" fontId="16" fillId="0" borderId="0" xfId="123" applyFont="1" applyAlignment="1">
      <alignment horizontal="left"/>
      <protection/>
    </xf>
    <xf numFmtId="0" fontId="15" fillId="0" borderId="0" xfId="123" applyFont="1" applyAlignment="1">
      <alignment horizontal="left"/>
      <protection/>
    </xf>
    <xf numFmtId="41" fontId="0" fillId="0" borderId="0" xfId="123" applyNumberFormat="1" applyBorder="1" applyAlignment="1">
      <alignment vertical="top"/>
      <protection/>
    </xf>
    <xf numFmtId="0" fontId="77" fillId="0" borderId="0" xfId="123" applyFont="1" applyFill="1" applyBorder="1">
      <alignment/>
      <protection/>
    </xf>
    <xf numFmtId="41" fontId="14" fillId="0" borderId="0" xfId="123" applyNumberFormat="1" applyFont="1" applyBorder="1">
      <alignment/>
      <protection/>
    </xf>
    <xf numFmtId="43" fontId="3" fillId="0" borderId="0" xfId="73" applyFont="1" applyAlignment="1" applyProtection="1">
      <alignment/>
      <protection locked="0"/>
    </xf>
    <xf numFmtId="172" fontId="3" fillId="0" borderId="11" xfId="126" applyFont="1" applyBorder="1" applyAlignment="1">
      <alignment/>
    </xf>
    <xf numFmtId="164" fontId="0" fillId="0" borderId="0" xfId="134" applyNumberFormat="1" applyFont="1" applyAlignment="1" applyProtection="1">
      <alignment/>
      <protection locked="0"/>
    </xf>
    <xf numFmtId="164" fontId="12" fillId="0" borderId="0" xfId="134" applyNumberFormat="1" applyFont="1" applyAlignment="1" applyProtection="1">
      <alignment/>
      <protection locked="0"/>
    </xf>
    <xf numFmtId="3" fontId="3" fillId="0" borderId="0" xfId="126" applyNumberFormat="1" applyFont="1" applyFill="1" applyAlignment="1" applyProtection="1">
      <alignment horizontal="right" vertical="center"/>
      <protection locked="0"/>
    </xf>
    <xf numFmtId="173" fontId="3" fillId="0" borderId="0" xfId="126" applyNumberFormat="1" applyFont="1" applyProtection="1">
      <alignment/>
      <protection locked="0"/>
    </xf>
    <xf numFmtId="187" fontId="3" fillId="0" borderId="0" xfId="126" applyNumberFormat="1" applyFont="1" applyProtection="1">
      <alignment/>
      <protection locked="0"/>
    </xf>
    <xf numFmtId="43" fontId="3" fillId="0" borderId="0" xfId="126" applyNumberFormat="1" applyFont="1" applyAlignment="1" applyProtection="1">
      <alignment horizontal="right"/>
      <protection locked="0"/>
    </xf>
    <xf numFmtId="164" fontId="3" fillId="0" borderId="0" xfId="134" applyNumberFormat="1" applyFont="1" applyAlignment="1">
      <alignment/>
    </xf>
    <xf numFmtId="42" fontId="3" fillId="0" borderId="0" xfId="134" applyNumberFormat="1" applyFont="1" applyAlignment="1">
      <alignment/>
    </xf>
    <xf numFmtId="43" fontId="3" fillId="0" borderId="0" xfId="73" applyFont="1" applyAlignment="1">
      <alignment/>
    </xf>
    <xf numFmtId="0" fontId="9" fillId="0" borderId="0" xfId="0" applyFont="1" applyBorder="1" applyAlignment="1">
      <alignment/>
    </xf>
    <xf numFmtId="0" fontId="4" fillId="0" borderId="0" xfId="130" applyFont="1" applyFill="1">
      <alignment/>
      <protection/>
    </xf>
    <xf numFmtId="0" fontId="3" fillId="0" borderId="0" xfId="0" applyFont="1" applyAlignment="1">
      <alignment/>
    </xf>
    <xf numFmtId="0" fontId="1" fillId="0" borderId="0" xfId="130"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0" fontId="0" fillId="20" borderId="0" xfId="113" applyNumberFormat="1" applyFont="1" applyFill="1" applyBorder="1" applyAlignment="1">
      <alignment horizontal="center"/>
      <protection/>
    </xf>
    <xf numFmtId="0" fontId="9" fillId="20" borderId="0" xfId="113" applyNumberFormat="1" applyFont="1" applyFill="1" applyBorder="1" applyAlignment="1">
      <alignment horizontal="left"/>
      <protection/>
    </xf>
    <xf numFmtId="0" fontId="8" fillId="20" borderId="0" xfId="113" applyFont="1" applyFill="1" applyBorder="1" applyAlignment="1">
      <alignment/>
      <protection/>
    </xf>
    <xf numFmtId="0" fontId="0" fillId="20" borderId="0" xfId="113" applyNumberFormat="1" applyFont="1" applyFill="1" applyBorder="1" applyAlignment="1">
      <alignment horizontal="left"/>
      <protection/>
    </xf>
    <xf numFmtId="0" fontId="0" fillId="20" borderId="0" xfId="113"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36" applyNumberFormat="1" applyFont="1" applyFill="1" applyBorder="1" applyAlignment="1">
      <alignment/>
    </xf>
    <xf numFmtId="173" fontId="0" fillId="20" borderId="0" xfId="76" applyNumberFormat="1" applyFont="1" applyFill="1" applyBorder="1" applyAlignment="1">
      <alignment horizontal="left"/>
    </xf>
    <xf numFmtId="174" fontId="0" fillId="0" borderId="0" xfId="85" applyNumberFormat="1" applyFont="1" applyFill="1" applyAlignment="1">
      <alignment/>
    </xf>
    <xf numFmtId="41" fontId="3" fillId="0" borderId="0" xfId="126" applyNumberFormat="1" applyFont="1" applyFill="1" applyAlignment="1" applyProtection="1">
      <alignment horizontal="center" vertical="center"/>
      <protection locked="0"/>
    </xf>
    <xf numFmtId="170" fontId="3" fillId="0" borderId="0" xfId="126" applyNumberFormat="1" applyFont="1" applyAlignment="1">
      <alignment/>
    </xf>
    <xf numFmtId="41" fontId="3" fillId="0" borderId="6" xfId="126" applyNumberFormat="1" applyFont="1" applyFill="1" applyBorder="1" applyAlignment="1" applyProtection="1">
      <alignment horizontal="center"/>
      <protection locked="0"/>
    </xf>
    <xf numFmtId="49" fontId="3" fillId="0" borderId="0" xfId="113"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172" fontId="3" fillId="0" borderId="0" xfId="126" applyFont="1" applyFill="1" applyAlignment="1" applyProtection="1">
      <alignment wrapText="1"/>
      <protection locked="0"/>
    </xf>
    <xf numFmtId="173" fontId="3" fillId="0" borderId="0" xfId="130" applyNumberFormat="1" applyFont="1">
      <alignment/>
      <protection/>
    </xf>
    <xf numFmtId="0" fontId="14" fillId="0" borderId="0" xfId="123" applyFont="1" applyAlignment="1">
      <alignment/>
      <protection/>
    </xf>
    <xf numFmtId="10" fontId="3" fillId="0" borderId="0" xfId="134" applyNumberFormat="1" applyFont="1" applyAlignment="1" applyProtection="1">
      <alignment/>
      <protection locked="0"/>
    </xf>
    <xf numFmtId="0" fontId="12" fillId="0" borderId="0" xfId="0" applyFont="1" applyBorder="1" applyAlignment="1">
      <alignment/>
    </xf>
    <xf numFmtId="0" fontId="16" fillId="0" borderId="0" xfId="113" applyFont="1" applyFill="1" applyBorder="1" applyAlignment="1">
      <alignment horizontal="center"/>
      <protection/>
    </xf>
    <xf numFmtId="0" fontId="12" fillId="0" borderId="0" xfId="113"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30" applyFont="1" applyBorder="1" applyAlignment="1">
      <alignment horizontal="center"/>
      <protection/>
    </xf>
    <xf numFmtId="0" fontId="10" fillId="0" borderId="0" xfId="130" applyFont="1" applyAlignment="1">
      <alignment horizontal="center"/>
      <protection/>
    </xf>
    <xf numFmtId="0" fontId="78" fillId="0" borderId="0" xfId="130" applyFont="1">
      <alignment/>
      <protection/>
    </xf>
    <xf numFmtId="0" fontId="13" fillId="0" borderId="0" xfId="123" applyFont="1" applyFill="1">
      <alignment/>
      <protection/>
    </xf>
    <xf numFmtId="0" fontId="79" fillId="0" borderId="0" xfId="123" applyFont="1" applyFill="1">
      <alignment/>
      <protection/>
    </xf>
    <xf numFmtId="9" fontId="10" fillId="0" borderId="0" xfId="123" applyNumberFormat="1" applyFont="1" applyFill="1" applyAlignment="1" quotePrefix="1">
      <alignment horizontal="center"/>
      <protection/>
    </xf>
    <xf numFmtId="0" fontId="2" fillId="0" borderId="0" xfId="127" applyNumberFormat="1" applyFont="1" applyAlignment="1">
      <alignment horizontal="center"/>
      <protection/>
    </xf>
    <xf numFmtId="0" fontId="2" fillId="0" borderId="0" xfId="127" applyNumberFormat="1" applyFont="1">
      <alignment/>
      <protection/>
    </xf>
    <xf numFmtId="186" fontId="2" fillId="0" borderId="0" xfId="127" applyNumberFormat="1" applyFont="1" applyAlignment="1">
      <alignment horizontal="center"/>
      <protection/>
    </xf>
    <xf numFmtId="0" fontId="9" fillId="0" borderId="0" xfId="127" applyFont="1">
      <alignment/>
      <protection/>
    </xf>
    <xf numFmtId="0" fontId="2" fillId="0" borderId="11" xfId="127" applyNumberFormat="1" applyFont="1" applyBorder="1" applyAlignment="1">
      <alignment horizontal="center"/>
      <protection/>
    </xf>
    <xf numFmtId="186" fontId="2" fillId="0" borderId="11" xfId="127" applyNumberFormat="1" applyFont="1" applyBorder="1" applyAlignment="1">
      <alignment horizontal="center"/>
      <protection/>
    </xf>
    <xf numFmtId="0" fontId="70" fillId="0" borderId="11" xfId="127" applyFont="1" applyBorder="1" applyAlignment="1">
      <alignment horizontal="center"/>
      <protection/>
    </xf>
    <xf numFmtId="0" fontId="9" fillId="0" borderId="0" xfId="127" applyFont="1" applyAlignment="1">
      <alignment horizontal="center"/>
      <protection/>
    </xf>
    <xf numFmtId="3" fontId="3" fillId="0" borderId="0" xfId="126" applyNumberFormat="1" applyFont="1" applyFill="1" applyAlignment="1" applyProtection="1">
      <alignment horizontal="right"/>
      <protection locked="0"/>
    </xf>
    <xf numFmtId="165" fontId="4" fillId="0" borderId="0" xfId="126" applyNumberFormat="1" applyFont="1" applyFill="1" applyAlignment="1" applyProtection="1">
      <alignment/>
      <protection locked="0"/>
    </xf>
    <xf numFmtId="0" fontId="80" fillId="0" borderId="0" xfId="0" applyFont="1" applyFill="1" applyAlignment="1">
      <alignment horizontal="right"/>
    </xf>
    <xf numFmtId="0" fontId="80" fillId="0" borderId="0" xfId="0" applyFont="1" applyFill="1" applyAlignment="1">
      <alignment horizontal="left"/>
    </xf>
    <xf numFmtId="41" fontId="3" fillId="0" borderId="14" xfId="126"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34" applyNumberFormat="1" applyFont="1" applyFill="1" applyAlignment="1">
      <alignment/>
    </xf>
    <xf numFmtId="0" fontId="12" fillId="0" borderId="0" xfId="123" applyFont="1" applyFill="1">
      <alignment/>
      <protection/>
    </xf>
    <xf numFmtId="41" fontId="0" fillId="0" borderId="0" xfId="123" applyNumberFormat="1" applyFill="1" applyBorder="1">
      <alignment/>
      <protection/>
    </xf>
    <xf numFmtId="0" fontId="16" fillId="0" borderId="0" xfId="123" applyFont="1" applyFill="1" applyAlignment="1">
      <alignment horizontal="left"/>
      <protection/>
    </xf>
    <xf numFmtId="0" fontId="0" fillId="0" borderId="0" xfId="123" applyFont="1" applyFill="1">
      <alignment/>
      <protection/>
    </xf>
    <xf numFmtId="41" fontId="0" fillId="0" borderId="12" xfId="123" applyNumberFormat="1" applyFont="1" applyBorder="1">
      <alignment/>
      <protection/>
    </xf>
    <xf numFmtId="0" fontId="8" fillId="0" borderId="0" xfId="0" applyFont="1" applyFill="1" applyAlignment="1">
      <alignment wrapText="1"/>
    </xf>
    <xf numFmtId="173" fontId="0" fillId="0" borderId="0" xfId="113" applyNumberFormat="1" applyFont="1" applyFill="1" applyBorder="1" applyAlignment="1">
      <alignment horizontal="left"/>
      <protection/>
    </xf>
    <xf numFmtId="6" fontId="0" fillId="0" borderId="0" xfId="0" applyNumberFormat="1" applyFont="1" applyAlignment="1">
      <alignment horizontal="right"/>
    </xf>
    <xf numFmtId="174" fontId="0" fillId="0" borderId="0" xfId="8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1" fillId="0" borderId="0" xfId="73" applyNumberFormat="1" applyFont="1" applyFill="1" applyAlignment="1">
      <alignment/>
    </xf>
    <xf numFmtId="173" fontId="67" fillId="0" borderId="0" xfId="73" applyNumberFormat="1" applyFont="1" applyFill="1" applyBorder="1" applyAlignment="1">
      <alignment/>
    </xf>
    <xf numFmtId="9" fontId="73" fillId="4" borderId="11" xfId="134" applyFont="1" applyFill="1" applyBorder="1" applyAlignment="1">
      <alignment/>
    </xf>
    <xf numFmtId="9" fontId="0" fillId="0" borderId="0" xfId="134" applyFont="1" applyFill="1" applyAlignment="1">
      <alignment/>
    </xf>
    <xf numFmtId="9" fontId="67" fillId="0" borderId="0" xfId="134" applyFont="1" applyFill="1" applyAlignment="1">
      <alignment/>
    </xf>
    <xf numFmtId="41" fontId="73" fillId="4" borderId="11" xfId="127" applyNumberFormat="1" applyFont="1" applyFill="1" applyBorder="1">
      <alignment/>
      <protection/>
    </xf>
    <xf numFmtId="41" fontId="82" fillId="26" borderId="0" xfId="127" applyNumberFormat="1" applyFont="1" applyFill="1">
      <alignment/>
      <protection/>
    </xf>
    <xf numFmtId="41" fontId="82" fillId="26" borderId="0" xfId="127" applyNumberFormat="1" applyFont="1" applyFill="1" applyBorder="1">
      <alignment/>
      <protection/>
    </xf>
    <xf numFmtId="173" fontId="67" fillId="0" borderId="15" xfId="73" applyNumberFormat="1" applyFont="1" applyFill="1" applyBorder="1" applyAlignment="1">
      <alignment/>
    </xf>
    <xf numFmtId="0" fontId="70" fillId="0" borderId="0" xfId="127" applyFont="1" applyFill="1">
      <alignment/>
      <protection/>
    </xf>
    <xf numFmtId="10" fontId="67" fillId="0" borderId="0" xfId="134" applyNumberFormat="1" applyFont="1" applyFill="1" applyAlignment="1">
      <alignment/>
    </xf>
    <xf numFmtId="173" fontId="67" fillId="0" borderId="14" xfId="73" applyNumberFormat="1" applyFont="1" applyFill="1" applyBorder="1" applyAlignment="1">
      <alignment/>
    </xf>
    <xf numFmtId="10" fontId="67" fillId="0" borderId="0" xfId="134" applyNumberFormat="1" applyFont="1" applyFill="1" applyBorder="1" applyAlignment="1">
      <alignment/>
    </xf>
    <xf numFmtId="188" fontId="0" fillId="0" borderId="0" xfId="134" applyNumberFormat="1" applyFont="1" applyFill="1" applyAlignment="1">
      <alignment/>
    </xf>
    <xf numFmtId="41" fontId="67" fillId="0" borderId="27" xfId="127" applyNumberFormat="1" applyFont="1" applyFill="1" applyBorder="1">
      <alignment/>
      <protection/>
    </xf>
    <xf numFmtId="172" fontId="72" fillId="0" borderId="0" xfId="126" applyFont="1" applyAlignment="1">
      <alignment horizontal="center" wrapText="1"/>
    </xf>
    <xf numFmtId="182" fontId="0" fillId="0" borderId="0" xfId="73" applyNumberFormat="1" applyFont="1" applyAlignment="1">
      <alignment/>
    </xf>
    <xf numFmtId="0" fontId="86" fillId="0" borderId="0" xfId="0" applyFont="1" applyBorder="1" applyAlignment="1">
      <alignment horizontal="center"/>
    </xf>
    <xf numFmtId="0" fontId="84" fillId="0" borderId="0" xfId="126" applyNumberFormat="1" applyFont="1" applyAlignment="1" applyProtection="1">
      <alignment horizontal="center"/>
      <protection locked="0"/>
    </xf>
    <xf numFmtId="0" fontId="85" fillId="0" borderId="0" xfId="123" applyFont="1" applyFill="1" applyAlignment="1">
      <alignment horizontal="center"/>
      <protection/>
    </xf>
    <xf numFmtId="173" fontId="0" fillId="0" borderId="0" xfId="127" applyNumberFormat="1" applyFont="1">
      <alignment/>
      <protection/>
    </xf>
    <xf numFmtId="164" fontId="67" fillId="0" borderId="0" xfId="134" applyNumberFormat="1" applyFont="1" applyFill="1" applyAlignment="1">
      <alignment/>
    </xf>
    <xf numFmtId="0" fontId="3" fillId="0" borderId="0" xfId="127" applyFont="1">
      <alignment/>
      <protection/>
    </xf>
    <xf numFmtId="173" fontId="3" fillId="0" borderId="0" xfId="127" applyNumberFormat="1" applyFont="1">
      <alignment/>
      <protection/>
    </xf>
    <xf numFmtId="43" fontId="3" fillId="0" borderId="0" xfId="134" applyNumberFormat="1" applyFont="1" applyFill="1" applyAlignment="1" applyProtection="1">
      <alignment/>
      <protection locked="0"/>
    </xf>
    <xf numFmtId="41" fontId="0" fillId="0" borderId="0" xfId="0" applyNumberFormat="1" applyAlignment="1">
      <alignment/>
    </xf>
    <xf numFmtId="164" fontId="0" fillId="0" borderId="0" xfId="134" applyNumberFormat="1" applyFont="1" applyAlignment="1">
      <alignment/>
    </xf>
    <xf numFmtId="192" fontId="3" fillId="0" borderId="0" xfId="73" applyNumberFormat="1" applyFont="1" applyAlignment="1" applyProtection="1">
      <alignment/>
      <protection locked="0"/>
    </xf>
    <xf numFmtId="189" fontId="3" fillId="0" borderId="0" xfId="73" applyNumberFormat="1" applyFont="1" applyAlignment="1">
      <alignment/>
    </xf>
    <xf numFmtId="173" fontId="87" fillId="0" borderId="0" xfId="127" applyNumberFormat="1" applyFont="1" applyFill="1" applyBorder="1">
      <alignment/>
      <protection/>
    </xf>
    <xf numFmtId="0" fontId="0" fillId="0" borderId="0" xfId="0" applyFill="1" applyAlignment="1">
      <alignment wrapText="1"/>
    </xf>
    <xf numFmtId="3" fontId="83"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88" fillId="0" borderId="0" xfId="123" applyFont="1" applyFill="1">
      <alignment/>
      <protection/>
    </xf>
    <xf numFmtId="3" fontId="0" fillId="0" borderId="0" xfId="126" applyNumberFormat="1" applyFont="1" applyFill="1" applyAlignment="1" applyProtection="1">
      <alignment/>
      <protection locked="0"/>
    </xf>
    <xf numFmtId="0" fontId="9" fillId="0" borderId="0" xfId="123" applyFont="1" applyFill="1">
      <alignment/>
      <protection/>
    </xf>
    <xf numFmtId="41" fontId="0" fillId="0" borderId="0" xfId="0" applyNumberFormat="1" applyFont="1" applyFill="1" applyAlignment="1">
      <alignment/>
    </xf>
    <xf numFmtId="41" fontId="0" fillId="0" borderId="6" xfId="0" applyNumberFormat="1" applyFont="1" applyFill="1" applyBorder="1" applyAlignment="1">
      <alignment/>
    </xf>
    <xf numFmtId="0" fontId="9" fillId="0" borderId="0" xfId="126" applyNumberFormat="1" applyFont="1" applyFill="1" applyBorder="1" applyAlignment="1" applyProtection="1">
      <alignment/>
      <protection locked="0"/>
    </xf>
    <xf numFmtId="3" fontId="9" fillId="0" borderId="0" xfId="126" applyNumberFormat="1" applyFont="1" applyFill="1" applyAlignment="1" applyProtection="1">
      <alignment/>
      <protection locked="0"/>
    </xf>
    <xf numFmtId="41" fontId="9" fillId="0" borderId="0" xfId="126" applyNumberFormat="1" applyFont="1" applyFill="1" applyAlignment="1" applyProtection="1">
      <alignment/>
      <protection locked="0"/>
    </xf>
    <xf numFmtId="0" fontId="0" fillId="0" borderId="0" xfId="123" applyFont="1" applyFill="1" applyAlignment="1">
      <alignment horizontal="left"/>
      <protection/>
    </xf>
    <xf numFmtId="0" fontId="9" fillId="0" borderId="0" xfId="123" applyFont="1" applyFill="1" applyAlignment="1">
      <alignment horizontal="left"/>
      <protection/>
    </xf>
    <xf numFmtId="41" fontId="9" fillId="0" borderId="0" xfId="0" applyNumberFormat="1" applyFont="1" applyFill="1" applyAlignment="1">
      <alignment/>
    </xf>
    <xf numFmtId="10" fontId="0" fillId="0" borderId="0" xfId="134" applyNumberFormat="1" applyFont="1" applyFill="1" applyBorder="1" applyAlignment="1">
      <alignment/>
    </xf>
    <xf numFmtId="10" fontId="9" fillId="0" borderId="0" xfId="134" applyNumberFormat="1" applyFont="1" applyFill="1" applyBorder="1" applyAlignment="1">
      <alignment/>
    </xf>
    <xf numFmtId="173" fontId="0" fillId="0" borderId="0" xfId="134" applyNumberFormat="1" applyFont="1" applyFill="1" applyBorder="1" applyAlignment="1">
      <alignment/>
    </xf>
    <xf numFmtId="10" fontId="9" fillId="0" borderId="27" xfId="134" applyNumberFormat="1" applyFont="1" applyFill="1" applyBorder="1" applyAlignment="1">
      <alignment/>
    </xf>
    <xf numFmtId="0" fontId="88" fillId="0" borderId="0" xfId="123" applyFont="1" applyFill="1" applyAlignment="1">
      <alignment horizontal="left"/>
      <protection/>
    </xf>
    <xf numFmtId="0" fontId="16" fillId="0" borderId="0" xfId="123" applyFont="1" applyFill="1" applyAlignment="1">
      <alignment horizontal="center" wrapText="1"/>
      <protection/>
    </xf>
    <xf numFmtId="41" fontId="8" fillId="0" borderId="0" xfId="123" applyNumberFormat="1" applyFont="1" applyFill="1" applyBorder="1">
      <alignment/>
      <protection/>
    </xf>
    <xf numFmtId="41" fontId="89" fillId="0" borderId="0" xfId="123" applyNumberFormat="1" applyFont="1" applyFill="1">
      <alignment/>
      <protection/>
    </xf>
    <xf numFmtId="41" fontId="0" fillId="0" borderId="12" xfId="123" applyNumberFormat="1" applyFont="1" applyFill="1" applyBorder="1">
      <alignment/>
      <protection/>
    </xf>
    <xf numFmtId="41" fontId="9" fillId="0" borderId="28" xfId="123" applyNumberFormat="1" applyFont="1" applyFill="1" applyBorder="1">
      <alignment/>
      <protection/>
    </xf>
    <xf numFmtId="10" fontId="0" fillId="0" borderId="0" xfId="134" applyNumberFormat="1" applyFont="1" applyFill="1" applyBorder="1" applyAlignment="1">
      <alignment/>
    </xf>
    <xf numFmtId="0" fontId="21" fillId="0" borderId="0" xfId="123" applyFont="1" applyFill="1" applyAlignment="1">
      <alignment horizontal="center"/>
      <protection/>
    </xf>
    <xf numFmtId="10" fontId="0" fillId="0" borderId="0" xfId="134" applyNumberFormat="1" applyAlignment="1">
      <alignment horizontal="right"/>
    </xf>
    <xf numFmtId="0" fontId="9" fillId="0" borderId="29" xfId="0" applyFont="1" applyFill="1" applyBorder="1" applyAlignment="1">
      <alignment horizontal="center"/>
    </xf>
    <xf numFmtId="173" fontId="9" fillId="0" borderId="22" xfId="73" applyNumberFormat="1" applyFont="1" applyFill="1" applyBorder="1" applyAlignment="1">
      <alignment horizontal="left"/>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13" applyNumberFormat="1" applyFont="1" applyFill="1" applyBorder="1" applyAlignment="1">
      <alignment horizontal="right"/>
      <protection/>
    </xf>
    <xf numFmtId="37" fontId="8" fillId="0" borderId="0" xfId="113" applyNumberFormat="1" applyFont="1" applyFill="1" applyBorder="1" applyAlignment="1">
      <alignment/>
      <protection/>
    </xf>
    <xf numFmtId="0" fontId="90" fillId="0" borderId="0" xfId="123" applyFont="1" applyFill="1" applyBorder="1">
      <alignment/>
      <protection/>
    </xf>
    <xf numFmtId="0" fontId="4" fillId="0" borderId="0" xfId="123" applyFont="1" applyFill="1" applyBorder="1">
      <alignment/>
      <protection/>
    </xf>
    <xf numFmtId="0" fontId="0" fillId="0" borderId="30" xfId="0" applyBorder="1" applyAlignment="1">
      <alignment/>
    </xf>
    <xf numFmtId="164" fontId="3" fillId="0" borderId="0" xfId="126" applyNumberFormat="1" applyFont="1" applyFill="1" applyBorder="1" applyAlignment="1" applyProtection="1">
      <alignment horizontal="left" vertical="center"/>
      <protection locked="0"/>
    </xf>
    <xf numFmtId="41" fontId="91" fillId="0" borderId="0" xfId="126"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1" fillId="0" borderId="0" xfId="126" applyNumberFormat="1" applyFont="1" applyFill="1" applyAlignment="1" applyProtection="1">
      <alignment horizontal="right"/>
      <protection locked="0"/>
    </xf>
    <xf numFmtId="3" fontId="3" fillId="0" borderId="0" xfId="126" applyNumberFormat="1" applyFont="1" applyAlignment="1" applyProtection="1">
      <alignment horizontal="center" vertical="center"/>
      <protection locked="0"/>
    </xf>
    <xf numFmtId="167" fontId="3" fillId="0" borderId="0" xfId="126" applyNumberFormat="1" applyFont="1" applyFill="1" applyAlignment="1" applyProtection="1">
      <alignment/>
      <protection locked="0"/>
    </xf>
    <xf numFmtId="166" fontId="3" fillId="0" borderId="0" xfId="126" applyNumberFormat="1" applyFont="1" applyAlignment="1" applyProtection="1">
      <alignment horizontal="center"/>
      <protection locked="0"/>
    </xf>
    <xf numFmtId="190" fontId="3" fillId="0" borderId="0" xfId="126" applyNumberFormat="1" applyFont="1" applyAlignment="1" applyProtection="1">
      <alignment horizontal="center"/>
      <protection locked="0"/>
    </xf>
    <xf numFmtId="191" fontId="3" fillId="0" borderId="0" xfId="126" applyNumberFormat="1" applyFont="1" applyAlignment="1" applyProtection="1">
      <alignment/>
      <protection locked="0"/>
    </xf>
    <xf numFmtId="187" fontId="3" fillId="0" borderId="0" xfId="73" applyNumberFormat="1" applyFont="1" applyAlignment="1" applyProtection="1">
      <alignment horizontal="center"/>
      <protection locked="0"/>
    </xf>
    <xf numFmtId="179" fontId="3" fillId="0" borderId="0" xfId="126" applyNumberFormat="1" applyFont="1" applyAlignment="1" applyProtection="1">
      <alignment horizontal="center"/>
      <protection locked="0"/>
    </xf>
    <xf numFmtId="179" fontId="3" fillId="0" borderId="0" xfId="126"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xf>
    <xf numFmtId="10" fontId="0" fillId="0" borderId="0" xfId="134" applyNumberFormat="1" applyFont="1" applyAlignment="1">
      <alignment/>
    </xf>
    <xf numFmtId="3" fontId="91" fillId="0" borderId="0" xfId="0" applyNumberFormat="1" applyFont="1" applyAlignment="1">
      <alignment horizontal="center"/>
    </xf>
    <xf numFmtId="172" fontId="91" fillId="0" borderId="0" xfId="126" applyFont="1" applyAlignment="1" applyProtection="1">
      <alignment horizontal="center"/>
      <protection locked="0"/>
    </xf>
    <xf numFmtId="173" fontId="0" fillId="0" borderId="14" xfId="0" applyNumberFormat="1" applyBorder="1" applyAlignment="1">
      <alignment/>
    </xf>
    <xf numFmtId="9" fontId="0" fillId="0" borderId="0" xfId="134" applyFont="1" applyAlignment="1">
      <alignment/>
    </xf>
    <xf numFmtId="0" fontId="9" fillId="0" borderId="0" xfId="0" applyFont="1" applyAlignment="1">
      <alignment horizontal="center" wrapText="1"/>
    </xf>
    <xf numFmtId="0" fontId="17" fillId="0" borderId="0" xfId="124"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26" applyNumberFormat="1" applyFont="1" applyAlignment="1" applyProtection="1">
      <alignment/>
      <protection locked="0"/>
    </xf>
    <xf numFmtId="169" fontId="21" fillId="0" borderId="0" xfId="126" applyNumberFormat="1" applyFont="1" applyFill="1" applyAlignment="1" applyProtection="1">
      <alignment/>
      <protection locked="0"/>
    </xf>
    <xf numFmtId="172" fontId="21" fillId="0" borderId="0" xfId="126" applyFont="1" applyFill="1" applyAlignment="1" applyProtection="1">
      <alignment/>
      <protection locked="0"/>
    </xf>
    <xf numFmtId="182" fontId="20" fillId="0" borderId="0" xfId="73" applyNumberFormat="1" applyFont="1" applyFill="1" applyAlignment="1">
      <alignment/>
    </xf>
    <xf numFmtId="0" fontId="0" fillId="0" borderId="0" xfId="123" applyFont="1" applyFill="1" applyAlignment="1">
      <alignment horizontal="left"/>
      <protection/>
    </xf>
    <xf numFmtId="0" fontId="0" fillId="0" borderId="0" xfId="123" applyFont="1" applyFill="1">
      <alignment/>
      <protection/>
    </xf>
    <xf numFmtId="0" fontId="93" fillId="0" borderId="0" xfId="123" applyFont="1" applyFill="1" applyAlignment="1">
      <alignment horizontal="center"/>
      <protection/>
    </xf>
    <xf numFmtId="0" fontId="94" fillId="0" borderId="0" xfId="123" applyFont="1" applyFill="1" applyBorder="1">
      <alignment/>
      <protection/>
    </xf>
    <xf numFmtId="193" fontId="95" fillId="0" borderId="0" xfId="113" applyNumberFormat="1" applyFont="1" applyFill="1" applyBorder="1" applyAlignment="1">
      <alignment horizontal="center"/>
      <protection/>
    </xf>
    <xf numFmtId="14" fontId="95" fillId="0" borderId="0" xfId="113" applyNumberFormat="1" applyFont="1" applyFill="1" applyBorder="1" applyAlignment="1">
      <alignment horizontal="center" wrapText="1"/>
      <protection/>
    </xf>
    <xf numFmtId="38" fontId="0" fillId="0" borderId="0" xfId="0" applyNumberFormat="1" applyBorder="1" applyAlignment="1">
      <alignment/>
    </xf>
    <xf numFmtId="0" fontId="0" fillId="0" borderId="0" xfId="123" applyFont="1" applyFill="1" applyAlignment="1">
      <alignment horizontal="center"/>
      <protection/>
    </xf>
    <xf numFmtId="172" fontId="83" fillId="0" borderId="0" xfId="126" applyFont="1" applyAlignment="1">
      <alignment horizontal="center"/>
    </xf>
    <xf numFmtId="0" fontId="0" fillId="0" borderId="0" xfId="0" applyFont="1" applyAlignment="1">
      <alignment/>
    </xf>
    <xf numFmtId="172" fontId="0" fillId="0" borderId="18" xfId="126" applyFont="1" applyBorder="1" applyAlignment="1" applyProtection="1">
      <alignment/>
      <protection locked="0"/>
    </xf>
    <xf numFmtId="0" fontId="0" fillId="0" borderId="0" xfId="126" applyNumberFormat="1" applyFont="1" applyBorder="1" applyAlignment="1" applyProtection="1">
      <alignment horizontal="center"/>
      <protection locked="0"/>
    </xf>
    <xf numFmtId="172" fontId="0" fillId="0" borderId="0"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26" applyNumberFormat="1" applyFont="1" applyBorder="1" applyAlignment="1" applyProtection="1">
      <alignment/>
      <protection locked="0"/>
    </xf>
    <xf numFmtId="41" fontId="0" fillId="0" borderId="0" xfId="126" applyNumberFormat="1" applyFont="1" applyFill="1" applyBorder="1" applyAlignment="1" applyProtection="1">
      <alignment horizontal="right"/>
      <protection locked="0"/>
    </xf>
    <xf numFmtId="3" fontId="9" fillId="0" borderId="0" xfId="126" applyNumberFormat="1" applyFont="1" applyAlignment="1" applyProtection="1">
      <alignment/>
      <protection locked="0"/>
    </xf>
    <xf numFmtId="172" fontId="0" fillId="0" borderId="29" xfId="126" applyFont="1" applyBorder="1" applyAlignment="1" applyProtection="1">
      <alignment/>
      <protection locked="0"/>
    </xf>
    <xf numFmtId="172" fontId="0" fillId="0" borderId="18" xfId="126" applyFont="1" applyBorder="1" applyAlignment="1" applyProtection="1">
      <alignment/>
      <protection locked="0"/>
    </xf>
    <xf numFmtId="3" fontId="0" fillId="0" borderId="19" xfId="126" applyNumberFormat="1" applyFont="1" applyBorder="1" applyAlignment="1" applyProtection="1">
      <alignment/>
      <protection locked="0"/>
    </xf>
    <xf numFmtId="0" fontId="0" fillId="0" borderId="0" xfId="126"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26" applyNumberFormat="1" applyFont="1" applyBorder="1" applyAlignment="1" applyProtection="1">
      <alignment horizontal="center"/>
      <protection locked="0"/>
    </xf>
    <xf numFmtId="0" fontId="0" fillId="0" borderId="6" xfId="126" applyNumberFormat="1" applyFont="1" applyBorder="1" applyAlignment="1" applyProtection="1">
      <alignment horizontal="center"/>
      <protection locked="0"/>
    </xf>
    <xf numFmtId="173" fontId="0" fillId="0" borderId="6" xfId="126" applyNumberFormat="1" applyFont="1" applyBorder="1" applyAlignment="1" applyProtection="1" quotePrefix="1">
      <alignment horizontal="center"/>
      <protection locked="0"/>
    </xf>
    <xf numFmtId="173" fontId="0" fillId="0" borderId="18" xfId="73" applyNumberFormat="1" applyFont="1" applyBorder="1" applyAlignment="1">
      <alignment/>
    </xf>
    <xf numFmtId="173" fontId="9" fillId="0" borderId="0" xfId="73" applyNumberFormat="1" applyFont="1" applyBorder="1" applyAlignment="1">
      <alignment/>
    </xf>
    <xf numFmtId="173" fontId="0" fillId="0" borderId="19" xfId="0" applyNumberFormat="1" applyFont="1" applyBorder="1" applyAlignment="1">
      <alignment/>
    </xf>
    <xf numFmtId="173" fontId="9" fillId="0" borderId="11" xfId="73" applyNumberFormat="1" applyFont="1" applyBorder="1" applyAlignment="1">
      <alignment/>
    </xf>
    <xf numFmtId="173" fontId="0" fillId="0" borderId="31" xfId="0" applyNumberFormat="1" applyFont="1" applyBorder="1" applyAlignment="1">
      <alignment/>
    </xf>
    <xf numFmtId="173" fontId="9" fillId="0" borderId="6" xfId="73" applyNumberFormat="1" applyFont="1" applyFill="1" applyBorder="1" applyAlignment="1">
      <alignment horizontal="left"/>
    </xf>
    <xf numFmtId="41" fontId="0" fillId="0" borderId="0" xfId="0" applyNumberFormat="1" applyFont="1" applyFill="1" applyBorder="1" applyAlignment="1">
      <alignment/>
    </xf>
    <xf numFmtId="169" fontId="0" fillId="0" borderId="0" xfId="0" applyNumberFormat="1" applyAlignment="1">
      <alignment/>
    </xf>
    <xf numFmtId="188" fontId="3" fillId="0" borderId="0" xfId="134" applyNumberFormat="1" applyFont="1" applyFill="1" applyAlignment="1">
      <alignment/>
    </xf>
    <xf numFmtId="195" fontId="3" fillId="0" borderId="0" xfId="126" applyNumberFormat="1" applyFont="1" applyProtection="1">
      <alignment/>
      <protection locked="0"/>
    </xf>
    <xf numFmtId="196" fontId="0" fillId="0" borderId="0" xfId="0" applyNumberFormat="1" applyFont="1" applyAlignment="1">
      <alignment/>
    </xf>
    <xf numFmtId="3" fontId="12" fillId="0" borderId="0" xfId="113"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0" fontId="96" fillId="0" borderId="0" xfId="127" applyFont="1" applyFill="1">
      <alignment/>
      <protection/>
    </xf>
    <xf numFmtId="41" fontId="96" fillId="0" borderId="0" xfId="127" applyNumberFormat="1" applyFont="1" applyFill="1">
      <alignment/>
      <protection/>
    </xf>
    <xf numFmtId="41" fontId="96" fillId="0" borderId="0" xfId="127"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0" fontId="97" fillId="0" borderId="0" xfId="0" applyFont="1" applyAlignment="1">
      <alignment/>
    </xf>
    <xf numFmtId="0" fontId="0" fillId="0" borderId="0" xfId="123"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26" applyNumberFormat="1" applyFont="1" applyFill="1" applyProtection="1">
      <alignment/>
      <protection locked="0"/>
    </xf>
    <xf numFmtId="10" fontId="3" fillId="0" borderId="0" xfId="126" applyNumberFormat="1" applyFont="1" applyFill="1" applyAlignment="1">
      <alignment/>
    </xf>
    <xf numFmtId="0" fontId="18" fillId="4" borderId="0" xfId="73" applyNumberFormat="1" applyFont="1" applyFill="1" applyAlignment="1">
      <alignment/>
    </xf>
    <xf numFmtId="172" fontId="3" fillId="0" borderId="6" xfId="126"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26" applyNumberFormat="1" applyFont="1" applyFill="1" applyAlignment="1" applyProtection="1">
      <alignment/>
      <protection locked="0"/>
    </xf>
    <xf numFmtId="169" fontId="3" fillId="0" borderId="0" xfId="126" applyNumberFormat="1" applyFont="1" applyFill="1" applyAlignment="1" applyProtection="1">
      <alignment/>
      <protection locked="0"/>
    </xf>
    <xf numFmtId="169" fontId="3" fillId="0" borderId="16" xfId="126" applyNumberFormat="1" applyFont="1" applyFill="1" applyBorder="1" applyAlignment="1" applyProtection="1">
      <alignment/>
      <protection locked="0"/>
    </xf>
    <xf numFmtId="169" fontId="3" fillId="0" borderId="0" xfId="126" applyNumberFormat="1" applyFont="1" applyFill="1" applyBorder="1" applyAlignment="1" applyProtection="1">
      <alignment/>
      <protection locked="0"/>
    </xf>
    <xf numFmtId="169" fontId="3" fillId="0" borderId="6" xfId="126"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26"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0" fontId="3" fillId="0" borderId="0" xfId="0" applyFont="1" applyAlignment="1">
      <alignment vertical="top" wrapText="1"/>
    </xf>
    <xf numFmtId="41" fontId="0" fillId="0" borderId="0" xfId="0" applyNumberFormat="1" applyFont="1" applyFill="1" applyAlignment="1">
      <alignment/>
    </xf>
    <xf numFmtId="173" fontId="0" fillId="0" borderId="15" xfId="0" applyNumberFormat="1" applyFont="1" applyBorder="1" applyAlignment="1">
      <alignment/>
    </xf>
    <xf numFmtId="41" fontId="67" fillId="4" borderId="11" xfId="127" applyNumberFormat="1" applyFont="1" applyFill="1" applyBorder="1">
      <alignment/>
      <protection/>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3" fillId="4" borderId="11" xfId="134" applyNumberFormat="1" applyFont="1" applyFill="1" applyBorder="1" applyAlignment="1">
      <alignment/>
    </xf>
    <xf numFmtId="10" fontId="0" fillId="0" borderId="0" xfId="134" applyNumberFormat="1" applyFont="1" applyFill="1" applyAlignment="1">
      <alignment/>
    </xf>
    <xf numFmtId="17" fontId="0" fillId="0" borderId="0" xfId="0" applyNumberFormat="1" applyFill="1" applyAlignment="1">
      <alignment horizontal="center"/>
    </xf>
    <xf numFmtId="5" fontId="0" fillId="0" borderId="0" xfId="0" applyNumberFormat="1" applyFont="1" applyFill="1" applyAlignment="1">
      <alignment horizontal="right"/>
    </xf>
    <xf numFmtId="5" fontId="0" fillId="0" borderId="0" xfId="0" applyNumberFormat="1" applyFill="1" applyBorder="1" applyAlignment="1">
      <alignment horizontal="right"/>
    </xf>
    <xf numFmtId="5" fontId="0" fillId="0" borderId="11" xfId="0" applyNumberFormat="1" applyFont="1" applyFill="1" applyBorder="1" applyAlignment="1">
      <alignment horizontal="right"/>
    </xf>
    <xf numFmtId="0" fontId="0" fillId="0" borderId="0" xfId="0" applyFill="1" applyAlignment="1">
      <alignment/>
    </xf>
    <xf numFmtId="0" fontId="0" fillId="0" borderId="0" xfId="0" applyFont="1" applyFill="1" applyAlignment="1">
      <alignment horizontal="centerContinuous"/>
    </xf>
    <xf numFmtId="0" fontId="18" fillId="0" borderId="0" xfId="73" applyNumberFormat="1" applyFont="1" applyFill="1" applyAlignment="1">
      <alignment/>
    </xf>
    <xf numFmtId="4" fontId="0" fillId="0" borderId="0" xfId="126" applyNumberFormat="1" applyFont="1" applyFill="1" applyBorder="1" applyAlignment="1" applyProtection="1">
      <alignment/>
      <protection locked="0"/>
    </xf>
    <xf numFmtId="0" fontId="3" fillId="0" borderId="0" xfId="113" applyFont="1" applyBorder="1" applyAlignment="1">
      <alignment/>
      <protection/>
    </xf>
    <xf numFmtId="0" fontId="9" fillId="0" borderId="0" xfId="0" applyFont="1" applyAlignment="1">
      <alignment/>
    </xf>
    <xf numFmtId="173" fontId="20" fillId="0" borderId="0" xfId="73" applyNumberFormat="1" applyFont="1" applyFill="1" applyAlignment="1">
      <alignment/>
    </xf>
    <xf numFmtId="0" fontId="9" fillId="0" borderId="0" xfId="130" applyFont="1" applyFill="1">
      <alignment/>
      <protection/>
    </xf>
    <xf numFmtId="0" fontId="9" fillId="0" borderId="0" xfId="130" applyFont="1">
      <alignment/>
      <protection/>
    </xf>
    <xf numFmtId="0" fontId="0" fillId="0" borderId="0" xfId="130" applyFont="1">
      <alignment/>
      <protection/>
    </xf>
    <xf numFmtId="0" fontId="21" fillId="0" borderId="0" xfId="130" applyFont="1">
      <alignment/>
      <protection/>
    </xf>
    <xf numFmtId="164" fontId="3" fillId="0" borderId="0" xfId="134" applyNumberFormat="1" applyFont="1" applyAlignment="1" applyProtection="1">
      <alignment/>
      <protection locked="0"/>
    </xf>
    <xf numFmtId="171" fontId="3" fillId="0" borderId="0" xfId="126" applyNumberFormat="1" applyFont="1" applyFill="1" applyAlignment="1" applyProtection="1">
      <alignment/>
      <protection locked="0"/>
    </xf>
    <xf numFmtId="16" fontId="0" fillId="0" borderId="0" xfId="0" applyNumberFormat="1" applyAlignment="1" quotePrefix="1">
      <alignment horizontal="center"/>
    </xf>
    <xf numFmtId="0" fontId="4" fillId="0" borderId="0" xfId="123" applyFont="1" applyFill="1" applyBorder="1" applyAlignment="1">
      <alignment horizontal="center"/>
      <protection/>
    </xf>
    <xf numFmtId="0" fontId="3" fillId="0" borderId="0" xfId="0" applyFont="1" applyBorder="1" applyAlignment="1">
      <alignment horizontal="center"/>
    </xf>
    <xf numFmtId="0" fontId="2" fillId="0" borderId="0" xfId="127" applyNumberFormat="1" applyFont="1" applyBorder="1" applyAlignment="1">
      <alignment horizontal="center"/>
      <protection/>
    </xf>
    <xf numFmtId="0" fontId="0" fillId="0" borderId="0" xfId="127" applyFont="1" applyBorder="1">
      <alignment/>
      <protection/>
    </xf>
    <xf numFmtId="0" fontId="2" fillId="0" borderId="11" xfId="127" applyNumberFormat="1" applyFont="1" applyBorder="1">
      <alignment/>
      <protection/>
    </xf>
    <xf numFmtId="186" fontId="2" fillId="0" borderId="0" xfId="127" applyNumberFormat="1" applyFont="1" applyBorder="1" applyAlignment="1">
      <alignment horizontal="center"/>
      <protection/>
    </xf>
    <xf numFmtId="0" fontId="0" fillId="0" borderId="0" xfId="127" applyFont="1" applyFill="1">
      <alignment/>
      <protection/>
    </xf>
    <xf numFmtId="173" fontId="73" fillId="0" borderId="0" xfId="127" applyNumberFormat="1" applyFont="1" applyFill="1" applyBorder="1">
      <alignment/>
      <protection/>
    </xf>
    <xf numFmtId="0" fontId="67" fillId="0" borderId="0" xfId="127" applyFont="1" applyAlignment="1">
      <alignment horizontal="center"/>
      <protection/>
    </xf>
    <xf numFmtId="0" fontId="0" fillId="0" borderId="0" xfId="0" applyFill="1" applyBorder="1" applyAlignment="1">
      <alignment horizontal="center"/>
    </xf>
    <xf numFmtId="0" fontId="17" fillId="0" borderId="0" xfId="127" applyFont="1" applyFill="1">
      <alignment/>
      <protection/>
    </xf>
    <xf numFmtId="3" fontId="73" fillId="0" borderId="0" xfId="127" applyNumberFormat="1" applyFont="1" applyFill="1" applyBorder="1">
      <alignment/>
      <protection/>
    </xf>
    <xf numFmtId="173" fontId="73" fillId="0" borderId="0" xfId="127" applyNumberFormat="1" applyFont="1" applyFill="1">
      <alignment/>
      <protection/>
    </xf>
    <xf numFmtId="173" fontId="67" fillId="0" borderId="0" xfId="127" applyNumberFormat="1" applyFont="1" applyFill="1" applyBorder="1">
      <alignment/>
      <protection/>
    </xf>
    <xf numFmtId="0" fontId="67" fillId="0" borderId="0" xfId="127" applyFont="1" applyFill="1" applyBorder="1">
      <alignment/>
      <protection/>
    </xf>
    <xf numFmtId="173" fontId="0" fillId="0" borderId="0" xfId="130" applyNumberFormat="1" applyFont="1" applyFill="1">
      <alignment/>
      <protection/>
    </xf>
    <xf numFmtId="172" fontId="0" fillId="0" borderId="0" xfId="130" applyNumberFormat="1" applyFont="1" applyFill="1" applyAlignment="1">
      <alignment horizontal="center"/>
      <protection/>
    </xf>
    <xf numFmtId="0" fontId="0" fillId="0" borderId="0" xfId="130" applyFont="1" applyFill="1">
      <alignment/>
      <protection/>
    </xf>
    <xf numFmtId="43" fontId="0" fillId="0" borderId="0" xfId="83" applyFont="1" applyFill="1" applyAlignment="1">
      <alignment/>
    </xf>
    <xf numFmtId="173" fontId="0" fillId="0" borderId="0" xfId="130" applyNumberFormat="1" applyFont="1">
      <alignment/>
      <protection/>
    </xf>
    <xf numFmtId="173" fontId="0" fillId="0" borderId="0" xfId="130" applyNumberFormat="1" applyFont="1" applyBorder="1">
      <alignment/>
      <protection/>
    </xf>
    <xf numFmtId="173" fontId="0" fillId="0" borderId="15" xfId="130" applyNumberFormat="1" applyFont="1" applyBorder="1">
      <alignment/>
      <protection/>
    </xf>
    <xf numFmtId="0" fontId="9" fillId="0" borderId="0" xfId="130" applyFont="1" applyFill="1" applyAlignment="1">
      <alignment horizontal="center"/>
      <protection/>
    </xf>
    <xf numFmtId="0" fontId="98" fillId="0" borderId="0" xfId="0" applyFont="1" applyAlignment="1">
      <alignment/>
    </xf>
    <xf numFmtId="0" fontId="98" fillId="0" borderId="0" xfId="130" applyFont="1">
      <alignment/>
      <protection/>
    </xf>
    <xf numFmtId="186" fontId="0" fillId="0" borderId="0" xfId="0" applyNumberFormat="1" applyFont="1" applyAlignment="1">
      <alignment/>
    </xf>
    <xf numFmtId="0" fontId="98" fillId="0" borderId="0" xfId="0" applyFont="1" applyFill="1" applyAlignment="1">
      <alignment/>
    </xf>
    <xf numFmtId="38" fontId="20" fillId="0" borderId="0" xfId="0" applyNumberFormat="1" applyFont="1" applyBorder="1" applyAlignment="1">
      <alignment/>
    </xf>
    <xf numFmtId="0" fontId="20" fillId="0" borderId="0" xfId="123" applyFont="1" applyFill="1" applyBorder="1">
      <alignment/>
      <protection/>
    </xf>
    <xf numFmtId="0" fontId="0" fillId="0" borderId="0" xfId="123" applyFont="1" applyAlignment="1">
      <alignment horizontal="center"/>
      <protection/>
    </xf>
    <xf numFmtId="0" fontId="1" fillId="0" borderId="0" xfId="129">
      <alignment/>
      <protection/>
    </xf>
    <xf numFmtId="0" fontId="100" fillId="0" borderId="0" xfId="129" applyFont="1" applyProtection="1">
      <alignment/>
      <protection locked="0"/>
    </xf>
    <xf numFmtId="0" fontId="101" fillId="0" borderId="0" xfId="129" applyFont="1" applyAlignment="1">
      <alignment horizontal="center"/>
      <protection/>
    </xf>
    <xf numFmtId="10" fontId="1" fillId="0" borderId="0" xfId="129" applyNumberFormat="1" applyProtection="1">
      <alignment/>
      <protection/>
    </xf>
    <xf numFmtId="0" fontId="102" fillId="0" borderId="32" xfId="129" applyFont="1" applyBorder="1">
      <alignment/>
      <protection/>
    </xf>
    <xf numFmtId="0" fontId="100" fillId="0" borderId="32" xfId="129" applyFont="1" applyBorder="1" applyProtection="1">
      <alignment/>
      <protection locked="0"/>
    </xf>
    <xf numFmtId="176" fontId="1" fillId="0" borderId="32" xfId="129" applyNumberFormat="1" applyBorder="1" applyProtection="1">
      <alignment/>
      <protection/>
    </xf>
    <xf numFmtId="201" fontId="1" fillId="0" borderId="0" xfId="129" applyNumberFormat="1" applyProtection="1">
      <alignment/>
      <protection/>
    </xf>
    <xf numFmtId="0" fontId="100" fillId="0" borderId="0" xfId="129" applyFont="1" applyBorder="1" applyProtection="1">
      <alignment/>
      <protection locked="0"/>
    </xf>
    <xf numFmtId="176" fontId="1" fillId="0" borderId="0" xfId="129" applyNumberFormat="1" applyBorder="1" applyProtection="1">
      <alignment/>
      <protection/>
    </xf>
    <xf numFmtId="0" fontId="1" fillId="0" borderId="0" xfId="129" applyFont="1" applyBorder="1">
      <alignment/>
      <protection/>
    </xf>
    <xf numFmtId="10" fontId="1" fillId="0" borderId="0" xfId="129" applyNumberFormat="1">
      <alignment/>
      <protection/>
    </xf>
    <xf numFmtId="196" fontId="1" fillId="0" borderId="0" xfId="129" applyNumberFormat="1">
      <alignment/>
      <protection/>
    </xf>
    <xf numFmtId="0" fontId="80" fillId="0" borderId="0" xfId="0" applyFont="1" applyFill="1" applyBorder="1" applyAlignment="1">
      <alignment horizontal="right"/>
    </xf>
    <xf numFmtId="10" fontId="21" fillId="0" borderId="0" xfId="134" applyNumberFormat="1" applyFont="1" applyFill="1" applyAlignment="1" applyProtection="1">
      <alignment/>
      <protection locked="0"/>
    </xf>
    <xf numFmtId="173" fontId="0" fillId="0" borderId="19" xfId="73" applyNumberFormat="1" applyFont="1" applyFill="1" applyBorder="1" applyAlignment="1">
      <alignment/>
    </xf>
    <xf numFmtId="174" fontId="0" fillId="21" borderId="23" xfId="0" applyNumberFormat="1" applyFont="1" applyFill="1" applyBorder="1" applyAlignment="1">
      <alignment wrapText="1"/>
    </xf>
    <xf numFmtId="0" fontId="0" fillId="0" borderId="0" xfId="113" applyFont="1">
      <alignment/>
      <protection/>
    </xf>
    <xf numFmtId="3" fontId="4" fillId="0" borderId="0" xfId="113" applyNumberFormat="1" applyFont="1" applyAlignment="1">
      <alignment horizontal="center"/>
      <protection/>
    </xf>
    <xf numFmtId="0" fontId="9" fillId="0" borderId="0" xfId="113" applyFont="1">
      <alignment/>
      <protection/>
    </xf>
    <xf numFmtId="0" fontId="4" fillId="0" borderId="0" xfId="113" applyFont="1" applyAlignment="1">
      <alignment horizontal="center"/>
      <protection/>
    </xf>
    <xf numFmtId="0" fontId="3" fillId="0" borderId="0" xfId="112" applyFont="1" applyFill="1">
      <alignment/>
      <protection/>
    </xf>
    <xf numFmtId="0" fontId="4" fillId="0" borderId="0" xfId="113" applyFont="1" applyFill="1" applyBorder="1" applyAlignment="1">
      <alignment horizontal="center"/>
      <protection/>
    </xf>
    <xf numFmtId="0" fontId="3" fillId="0" borderId="0" xfId="113" applyFont="1">
      <alignment/>
      <protection/>
    </xf>
    <xf numFmtId="0" fontId="10" fillId="0" borderId="0" xfId="113" applyFont="1" applyBorder="1" applyAlignment="1">
      <alignment horizontal="left"/>
      <protection/>
    </xf>
    <xf numFmtId="0" fontId="3" fillId="0" borderId="0" xfId="113" applyFont="1" applyBorder="1">
      <alignment/>
      <protection/>
    </xf>
    <xf numFmtId="0" fontId="10" fillId="0" borderId="0" xfId="113" applyFont="1" applyFill="1" applyBorder="1">
      <alignment/>
      <protection/>
    </xf>
    <xf numFmtId="3" fontId="3" fillId="0" borderId="0" xfId="113" applyNumberFormat="1" applyFont="1" applyFill="1" applyBorder="1" applyAlignment="1">
      <alignment/>
      <protection/>
    </xf>
    <xf numFmtId="1" fontId="18" fillId="0" borderId="0" xfId="113" applyNumberFormat="1" applyFont="1" applyFill="1" applyBorder="1" applyAlignment="1">
      <alignment horizontal="center"/>
      <protection/>
    </xf>
    <xf numFmtId="172" fontId="3" fillId="0" borderId="0" xfId="125" applyFont="1" applyBorder="1" applyAlignment="1">
      <alignment/>
    </xf>
    <xf numFmtId="170" fontId="3" fillId="0" borderId="0" xfId="125" applyNumberFormat="1" applyFont="1" applyFill="1" applyBorder="1" applyAlignment="1">
      <alignment horizontal="right"/>
    </xf>
    <xf numFmtId="170" fontId="3" fillId="0" borderId="0" xfId="125" applyNumberFormat="1" applyFont="1" applyBorder="1" applyAlignment="1">
      <alignment horizontal="right"/>
    </xf>
    <xf numFmtId="172" fontId="105" fillId="0" borderId="0" xfId="125" applyFont="1" applyBorder="1" applyAlignment="1">
      <alignment/>
    </xf>
    <xf numFmtId="171" fontId="3" fillId="0" borderId="0" xfId="125" applyNumberFormat="1" applyFont="1" applyFill="1" applyBorder="1" applyAlignment="1">
      <alignment/>
    </xf>
    <xf numFmtId="170" fontId="3" fillId="0" borderId="0" xfId="125" applyNumberFormat="1" applyFont="1" applyBorder="1" applyAlignment="1">
      <alignment/>
    </xf>
    <xf numFmtId="0" fontId="3" fillId="0" borderId="0" xfId="0" applyFont="1" applyBorder="1" applyAlignment="1">
      <alignment/>
    </xf>
    <xf numFmtId="172" fontId="3" fillId="0" borderId="0" xfId="125" applyFont="1" applyFill="1" applyBorder="1" applyAlignment="1">
      <alignment/>
    </xf>
    <xf numFmtId="0" fontId="3" fillId="0" borderId="6" xfId="113" applyFont="1" applyBorder="1" applyAlignment="1">
      <alignment horizontal="center"/>
      <protection/>
    </xf>
    <xf numFmtId="0" fontId="3" fillId="0" borderId="6" xfId="0" applyFont="1" applyBorder="1" applyAlignment="1">
      <alignment/>
    </xf>
    <xf numFmtId="172" fontId="3" fillId="0" borderId="6" xfId="125" applyFont="1" applyBorder="1" applyAlignment="1">
      <alignment/>
    </xf>
    <xf numFmtId="170" fontId="3" fillId="0" borderId="0" xfId="0" applyNumberFormat="1" applyFont="1" applyBorder="1" applyAlignment="1">
      <alignment/>
    </xf>
    <xf numFmtId="170" fontId="3" fillId="0" borderId="0" xfId="113" applyNumberFormat="1" applyFont="1" applyBorder="1">
      <alignment/>
      <protection/>
    </xf>
    <xf numFmtId="0" fontId="0" fillId="0" borderId="0" xfId="113" applyFont="1" applyAlignment="1">
      <alignment horizontal="center"/>
      <protection/>
    </xf>
    <xf numFmtId="173" fontId="0" fillId="0" borderId="11" xfId="0" applyNumberFormat="1" applyBorder="1" applyAlignment="1">
      <alignment/>
    </xf>
    <xf numFmtId="10" fontId="3" fillId="0" borderId="0" xfId="126" applyNumberFormat="1" applyFont="1" applyFill="1" applyBorder="1" applyAlignment="1" applyProtection="1">
      <alignment/>
      <protection locked="0"/>
    </xf>
    <xf numFmtId="10" fontId="8" fillId="0" borderId="0" xfId="134" applyNumberFormat="1" applyFont="1" applyFill="1" applyAlignment="1">
      <alignment horizontal="center"/>
    </xf>
    <xf numFmtId="202" fontId="3" fillId="0" borderId="0" xfId="126" applyNumberFormat="1" applyFont="1" applyAlignment="1">
      <alignment/>
    </xf>
    <xf numFmtId="10" fontId="0" fillId="0" borderId="0" xfId="134" applyNumberFormat="1" applyFont="1" applyFill="1" applyAlignment="1">
      <alignment horizontal="right"/>
    </xf>
    <xf numFmtId="0" fontId="15" fillId="0" borderId="0" xfId="113" applyFont="1">
      <alignment/>
      <protection/>
    </xf>
    <xf numFmtId="0" fontId="0" fillId="0" borderId="0" xfId="131" applyFont="1">
      <alignment/>
      <protection/>
    </xf>
    <xf numFmtId="0" fontId="9" fillId="0" borderId="0" xfId="131" applyFont="1" applyAlignment="1">
      <alignment horizontal="center" wrapText="1"/>
      <protection/>
    </xf>
    <xf numFmtId="173" fontId="0" fillId="0" borderId="11" xfId="73" applyNumberFormat="1" applyFont="1" applyFill="1" applyBorder="1" applyAlignment="1" applyProtection="1">
      <alignment/>
      <protection locked="0"/>
    </xf>
    <xf numFmtId="173" fontId="0" fillId="0" borderId="0" xfId="73" applyNumberFormat="1" applyFont="1" applyFill="1" applyBorder="1" applyAlignment="1" applyProtection="1">
      <alignment/>
      <protection locked="0"/>
    </xf>
    <xf numFmtId="0" fontId="0" fillId="0" borderId="0" xfId="123" applyFont="1" applyFill="1" applyAlignment="1">
      <alignment horizontal="left" vertical="top" wrapText="1"/>
      <protection/>
    </xf>
    <xf numFmtId="0" fontId="106" fillId="0" borderId="0" xfId="131">
      <alignment/>
      <protection/>
    </xf>
    <xf numFmtId="0" fontId="9" fillId="0" borderId="0" xfId="131" applyFont="1">
      <alignment/>
      <protection/>
    </xf>
    <xf numFmtId="173" fontId="0" fillId="0" borderId="0" xfId="131" applyNumberFormat="1" applyFont="1">
      <alignment/>
      <protection/>
    </xf>
    <xf numFmtId="0" fontId="0" fillId="0" borderId="0" xfId="131" applyFont="1" applyAlignment="1">
      <alignment vertical="top" wrapText="1"/>
      <protection/>
    </xf>
    <xf numFmtId="10" fontId="0" fillId="0" borderId="0" xfId="131" applyNumberFormat="1" applyFont="1">
      <alignment/>
      <protection/>
    </xf>
    <xf numFmtId="44" fontId="0" fillId="0" borderId="0" xfId="131" applyNumberFormat="1" applyFont="1">
      <alignment/>
      <protection/>
    </xf>
    <xf numFmtId="173" fontId="0" fillId="0" borderId="0" xfId="73" applyNumberFormat="1" applyFont="1" applyFill="1" applyAlignment="1" applyProtection="1">
      <alignment/>
      <protection locked="0"/>
    </xf>
    <xf numFmtId="173" fontId="0" fillId="0" borderId="11" xfId="131" applyNumberFormat="1" applyFont="1" applyBorder="1">
      <alignment/>
      <protection/>
    </xf>
    <xf numFmtId="173" fontId="0" fillId="0" borderId="0" xfId="73" applyNumberFormat="1" applyFont="1" applyFill="1" applyBorder="1" applyAlignment="1" applyProtection="1">
      <alignment/>
      <protection locked="0"/>
    </xf>
    <xf numFmtId="10" fontId="0" fillId="0" borderId="0" xfId="134" applyNumberFormat="1" applyFont="1" applyAlignment="1">
      <alignment/>
    </xf>
    <xf numFmtId="0" fontId="0" fillId="0" borderId="0" xfId="131" applyFont="1" applyFill="1">
      <alignment/>
      <protection/>
    </xf>
    <xf numFmtId="10" fontId="0" fillId="0" borderId="11" xfId="134" applyNumberFormat="1" applyFont="1" applyBorder="1" applyAlignment="1">
      <alignment/>
    </xf>
    <xf numFmtId="10" fontId="9" fillId="0" borderId="0" xfId="134" applyNumberFormat="1" applyFont="1" applyAlignment="1">
      <alignment/>
    </xf>
    <xf numFmtId="173" fontId="0" fillId="0" borderId="11" xfId="73" applyNumberFormat="1" applyFont="1" applyFill="1" applyBorder="1" applyAlignment="1">
      <alignment/>
    </xf>
    <xf numFmtId="173" fontId="0" fillId="0" borderId="11" xfId="73" applyNumberFormat="1" applyFont="1" applyFill="1" applyBorder="1" applyAlignment="1" applyProtection="1">
      <alignment/>
      <protection locked="0"/>
    </xf>
    <xf numFmtId="10" fontId="0" fillId="0" borderId="0" xfId="0" applyNumberFormat="1" applyFont="1" applyFill="1" applyAlignment="1">
      <alignment/>
    </xf>
    <xf numFmtId="43" fontId="0" fillId="0" borderId="0" xfId="73" applyFont="1" applyFill="1" applyAlignment="1">
      <alignment/>
    </xf>
    <xf numFmtId="173" fontId="0" fillId="0" borderId="0" xfId="0" applyNumberFormat="1" applyFont="1" applyFill="1" applyAlignment="1">
      <alignment/>
    </xf>
    <xf numFmtId="0" fontId="1" fillId="0" borderId="0" xfId="129" applyBorder="1">
      <alignment/>
      <protection/>
    </xf>
    <xf numFmtId="0" fontId="10" fillId="0" borderId="0" xfId="126" applyNumberFormat="1" applyFont="1" applyBorder="1" applyAlignment="1" applyProtection="1">
      <alignment/>
      <protection locked="0"/>
    </xf>
    <xf numFmtId="172" fontId="21" fillId="0" borderId="0" xfId="126" applyFont="1" applyAlignment="1">
      <alignment wrapText="1"/>
    </xf>
    <xf numFmtId="41" fontId="9" fillId="0" borderId="0" xfId="123" applyNumberFormat="1" applyFont="1" applyFill="1" applyBorder="1" applyAlignment="1">
      <alignment horizontal="center" wrapText="1"/>
      <protection/>
    </xf>
    <xf numFmtId="0" fontId="9" fillId="0" borderId="0" xfId="123" applyFont="1" applyFill="1" applyAlignment="1">
      <alignment horizontal="center" wrapText="1"/>
      <protection/>
    </xf>
    <xf numFmtId="0" fontId="0" fillId="0" borderId="11" xfId="0" applyFont="1" applyBorder="1" applyAlignment="1">
      <alignment/>
    </xf>
    <xf numFmtId="173" fontId="0" fillId="0" borderId="0" xfId="134" applyNumberFormat="1" applyFont="1" applyFill="1" applyBorder="1" applyAlignment="1">
      <alignment/>
    </xf>
    <xf numFmtId="0" fontId="78" fillId="0" borderId="2" xfId="129" applyFont="1" applyBorder="1" applyAlignment="1">
      <alignment horizontal="center"/>
      <protection/>
    </xf>
    <xf numFmtId="0" fontId="78" fillId="0" borderId="33" xfId="129" applyFont="1" applyBorder="1" applyAlignment="1">
      <alignment horizontal="center"/>
      <protection/>
    </xf>
    <xf numFmtId="0" fontId="1" fillId="0" borderId="34" xfId="129" applyFont="1" applyBorder="1">
      <alignment/>
      <protection/>
    </xf>
    <xf numFmtId="173" fontId="0" fillId="0" borderId="11" xfId="73" applyNumberFormat="1" applyFont="1" applyFill="1" applyBorder="1" applyAlignment="1">
      <alignment/>
    </xf>
    <xf numFmtId="188" fontId="18" fillId="0" borderId="0" xfId="134" applyNumberFormat="1" applyFont="1" applyFill="1" applyAlignment="1">
      <alignment/>
    </xf>
    <xf numFmtId="10" fontId="72" fillId="0" borderId="35" xfId="134" applyNumberFormat="1" applyFont="1" applyBorder="1" applyAlignment="1">
      <alignment horizontal="center"/>
    </xf>
    <xf numFmtId="43" fontId="0" fillId="0" borderId="0" xfId="131" applyNumberFormat="1" applyFont="1">
      <alignment/>
      <protection/>
    </xf>
    <xf numFmtId="0" fontId="3" fillId="0" borderId="0" xfId="0" applyFont="1" applyAlignment="1">
      <alignment horizontal="center" wrapText="1"/>
    </xf>
    <xf numFmtId="0" fontId="3" fillId="0" borderId="0" xfId="0" applyFont="1" applyAlignment="1">
      <alignment wrapText="1"/>
    </xf>
    <xf numFmtId="10" fontId="1" fillId="0" borderId="0" xfId="134" applyNumberFormat="1" applyFont="1" applyBorder="1" applyAlignment="1">
      <alignment horizontal="center"/>
    </xf>
    <xf numFmtId="0" fontId="99" fillId="0" borderId="0" xfId="129" applyFont="1" applyAlignment="1">
      <alignment/>
      <protection/>
    </xf>
    <xf numFmtId="0" fontId="109" fillId="0" borderId="0" xfId="129" applyFont="1" applyAlignment="1">
      <alignment horizontal="center"/>
      <protection/>
    </xf>
    <xf numFmtId="0" fontId="102" fillId="0" borderId="0" xfId="129" applyFont="1" applyBorder="1">
      <alignment/>
      <protection/>
    </xf>
    <xf numFmtId="0" fontId="1" fillId="0" borderId="0" xfId="129" applyFont="1" applyAlignment="1">
      <alignment horizontal="center"/>
      <protection/>
    </xf>
    <xf numFmtId="0" fontId="110" fillId="0" borderId="0" xfId="0" applyFont="1" applyAlignment="1">
      <alignment wrapText="1"/>
    </xf>
    <xf numFmtId="0" fontId="103" fillId="0" borderId="36" xfId="129" applyFont="1" applyBorder="1">
      <alignment/>
      <protection/>
    </xf>
    <xf numFmtId="0" fontId="1" fillId="0" borderId="0" xfId="129" applyFont="1" applyBorder="1" applyAlignment="1">
      <alignment wrapText="1"/>
      <protection/>
    </xf>
    <xf numFmtId="0" fontId="0" fillId="0" borderId="0" xfId="0" applyBorder="1" applyAlignment="1">
      <alignment wrapText="1"/>
    </xf>
    <xf numFmtId="10" fontId="1" fillId="0" borderId="11" xfId="134" applyNumberFormat="1" applyFont="1" applyBorder="1" applyAlignment="1">
      <alignment horizontal="center"/>
    </xf>
    <xf numFmtId="0" fontId="1" fillId="0" borderId="0" xfId="129" applyFont="1" applyBorder="1" applyAlignment="1">
      <alignment horizontal="left"/>
      <protection/>
    </xf>
    <xf numFmtId="0" fontId="112" fillId="0" borderId="0" xfId="123" applyFont="1" applyFill="1">
      <alignment/>
      <protection/>
    </xf>
    <xf numFmtId="0" fontId="0" fillId="0" borderId="0" xfId="123" applyFont="1" applyFill="1" applyAlignment="1">
      <alignment horizontal="center"/>
      <protection/>
    </xf>
    <xf numFmtId="0" fontId="20" fillId="0" borderId="0" xfId="123" applyFont="1" applyFill="1" applyAlignment="1">
      <alignment horizontal="center"/>
      <protection/>
    </xf>
    <xf numFmtId="0" fontId="113" fillId="0" borderId="0" xfId="123" applyFont="1">
      <alignment/>
      <protection/>
    </xf>
    <xf numFmtId="3" fontId="112" fillId="0" borderId="0" xfId="126" applyNumberFormat="1" applyFont="1" applyFill="1" applyAlignment="1" applyProtection="1">
      <alignment/>
      <protection locked="0"/>
    </xf>
    <xf numFmtId="172" fontId="1" fillId="0" borderId="0" xfId="126" applyFont="1" applyFill="1" applyAlignment="1" applyProtection="1">
      <alignment horizontal="center" wrapText="1"/>
      <protection locked="0"/>
    </xf>
    <xf numFmtId="169" fontId="91" fillId="0" borderId="0" xfId="126" applyNumberFormat="1" applyFont="1" applyFill="1" applyAlignment="1" applyProtection="1">
      <alignment/>
      <protection locked="0"/>
    </xf>
    <xf numFmtId="3" fontId="91" fillId="0" borderId="0" xfId="126" applyNumberFormat="1" applyFont="1" applyFill="1" applyAlignment="1" applyProtection="1">
      <alignment/>
      <protection locked="0"/>
    </xf>
    <xf numFmtId="172" fontId="116" fillId="0" borderId="0" xfId="126" applyFont="1" applyAlignment="1" applyProtection="1">
      <alignment/>
      <protection locked="0"/>
    </xf>
    <xf numFmtId="10" fontId="3" fillId="0" borderId="0" xfId="134" applyNumberFormat="1" applyFont="1" applyFill="1" applyAlignment="1">
      <alignment/>
    </xf>
    <xf numFmtId="172" fontId="72" fillId="0" borderId="0" xfId="126" applyFont="1" applyFill="1" applyAlignment="1" applyProtection="1">
      <alignment horizontal="center" wrapText="1"/>
      <protection locked="0"/>
    </xf>
    <xf numFmtId="173" fontId="0" fillId="0" borderId="0" xfId="131" applyNumberFormat="1" applyFont="1" applyFill="1">
      <alignment/>
      <protection/>
    </xf>
    <xf numFmtId="0" fontId="119" fillId="0" borderId="0" xfId="123" applyFont="1" applyFill="1">
      <alignment/>
      <protection/>
    </xf>
    <xf numFmtId="41" fontId="114" fillId="0" borderId="12" xfId="123" applyNumberFormat="1" applyFont="1" applyFill="1" applyBorder="1">
      <alignment/>
      <protection/>
    </xf>
    <xf numFmtId="41" fontId="119" fillId="0" borderId="0" xfId="123" applyNumberFormat="1" applyFont="1" applyFill="1">
      <alignment/>
      <protection/>
    </xf>
    <xf numFmtId="0" fontId="9" fillId="0" borderId="0" xfId="131" applyFont="1" applyFill="1">
      <alignment/>
      <protection/>
    </xf>
    <xf numFmtId="0" fontId="112" fillId="0" borderId="0" xfId="131" applyFont="1" applyFill="1">
      <alignment/>
      <protection/>
    </xf>
    <xf numFmtId="0" fontId="114" fillId="0" borderId="0" xfId="131" applyFont="1" applyFill="1">
      <alignment/>
      <protection/>
    </xf>
    <xf numFmtId="0" fontId="0" fillId="0" borderId="0" xfId="123" applyFont="1" applyFill="1" applyBorder="1" applyAlignment="1">
      <alignment horizontal="left"/>
      <protection/>
    </xf>
    <xf numFmtId="0" fontId="9" fillId="0" borderId="0" xfId="131" applyFont="1" applyFill="1">
      <alignment/>
      <protection/>
    </xf>
    <xf numFmtId="0" fontId="0" fillId="0" borderId="0" xfId="131" applyFont="1" applyFill="1" applyAlignment="1">
      <alignment vertical="top" wrapText="1"/>
      <protection/>
    </xf>
    <xf numFmtId="10" fontId="0" fillId="0" borderId="11" xfId="134" applyNumberFormat="1" applyFont="1" applyFill="1" applyBorder="1" applyAlignment="1">
      <alignment/>
    </xf>
    <xf numFmtId="10" fontId="9" fillId="0" borderId="0" xfId="134" applyNumberFormat="1" applyFont="1" applyFill="1" applyAlignment="1">
      <alignment/>
    </xf>
    <xf numFmtId="173" fontId="14" fillId="0" borderId="0" xfId="123" applyNumberFormat="1" applyFont="1" applyFill="1">
      <alignment/>
      <protection/>
    </xf>
    <xf numFmtId="173" fontId="9" fillId="0" borderId="0" xfId="134" applyNumberFormat="1" applyFont="1" applyFill="1" applyBorder="1" applyAlignment="1">
      <alignment/>
    </xf>
    <xf numFmtId="3" fontId="117" fillId="0" borderId="0" xfId="126" applyNumberFormat="1" applyFont="1" applyFill="1" applyAlignment="1" applyProtection="1">
      <alignment/>
      <protection locked="0"/>
    </xf>
    <xf numFmtId="3" fontId="115" fillId="0" borderId="0" xfId="126" applyNumberFormat="1" applyFont="1" applyFill="1" applyAlignment="1" applyProtection="1">
      <alignment/>
      <protection locked="0"/>
    </xf>
    <xf numFmtId="41" fontId="117" fillId="0" borderId="0" xfId="126" applyNumberFormat="1" applyFont="1" applyFill="1" applyAlignment="1" applyProtection="1">
      <alignment/>
      <protection locked="0"/>
    </xf>
    <xf numFmtId="41" fontId="115" fillId="0" borderId="0" xfId="126" applyNumberFormat="1" applyFont="1" applyFill="1" applyAlignment="1" applyProtection="1">
      <alignment/>
      <protection locked="0"/>
    </xf>
    <xf numFmtId="0" fontId="10" fillId="0" borderId="0" xfId="126" applyNumberFormat="1" applyFont="1" applyFill="1" applyBorder="1" applyAlignment="1" applyProtection="1">
      <alignment/>
      <protection locked="0"/>
    </xf>
    <xf numFmtId="3" fontId="3" fillId="0" borderId="0" xfId="126" applyNumberFormat="1" applyFont="1" applyFill="1" applyAlignment="1" applyProtection="1">
      <alignment/>
      <protection locked="0"/>
    </xf>
    <xf numFmtId="41" fontId="3" fillId="0" borderId="0" xfId="126" applyNumberFormat="1" applyFont="1" applyFill="1" applyAlignment="1" applyProtection="1">
      <alignment/>
      <protection locked="0"/>
    </xf>
    <xf numFmtId="0" fontId="4" fillId="0" borderId="0" xfId="126" applyNumberFormat="1" applyFont="1" applyFill="1" applyBorder="1" applyAlignment="1" applyProtection="1">
      <alignment/>
      <protection locked="0"/>
    </xf>
    <xf numFmtId="10" fontId="3" fillId="0" borderId="6" xfId="126" applyNumberFormat="1" applyFont="1" applyFill="1" applyBorder="1" applyAlignment="1" applyProtection="1">
      <alignment/>
      <protection locked="0"/>
    </xf>
    <xf numFmtId="9" fontId="3" fillId="0" borderId="0" xfId="134" applyFont="1" applyFill="1" applyAlignment="1">
      <alignment/>
    </xf>
    <xf numFmtId="0" fontId="114" fillId="0" borderId="0" xfId="0" applyFont="1" applyFill="1" applyAlignment="1">
      <alignment/>
    </xf>
    <xf numFmtId="10" fontId="3" fillId="0" borderId="6" xfId="134" applyNumberFormat="1" applyFont="1" applyFill="1" applyBorder="1" applyAlignment="1">
      <alignment/>
    </xf>
    <xf numFmtId="0" fontId="117" fillId="0" borderId="0" xfId="0" applyFont="1" applyFill="1" applyAlignment="1">
      <alignment/>
    </xf>
    <xf numFmtId="0" fontId="117" fillId="0" borderId="0" xfId="126" applyNumberFormat="1" applyFont="1" applyFill="1" applyProtection="1">
      <alignment/>
      <protection locked="0"/>
    </xf>
    <xf numFmtId="49" fontId="3" fillId="0" borderId="0" xfId="73" applyNumberFormat="1" applyFont="1" applyAlignment="1">
      <alignment horizontal="center"/>
    </xf>
    <xf numFmtId="0" fontId="0" fillId="0" borderId="0" xfId="0" applyFont="1" applyAlignment="1">
      <alignment horizontal="left" wrapText="1"/>
    </xf>
    <xf numFmtId="3" fontId="3" fillId="0" borderId="0" xfId="126" applyNumberFormat="1" applyFont="1" applyAlignment="1" applyProtection="1">
      <alignment horizontal="left" wrapText="1"/>
      <protection locked="0"/>
    </xf>
    <xf numFmtId="0" fontId="24" fillId="0" borderId="0" xfId="126" applyNumberFormat="1" applyFont="1" applyBorder="1" applyAlignment="1" applyProtection="1">
      <alignment/>
      <protection locked="0"/>
    </xf>
    <xf numFmtId="173" fontId="120" fillId="0" borderId="0" xfId="73" applyNumberFormat="1" applyFont="1" applyFill="1" applyAlignment="1">
      <alignment/>
    </xf>
    <xf numFmtId="0" fontId="121" fillId="0" borderId="0" xfId="126" applyNumberFormat="1" applyFont="1" applyBorder="1" applyAlignment="1" applyProtection="1">
      <alignment/>
      <protection locked="0"/>
    </xf>
    <xf numFmtId="0" fontId="96" fillId="0" borderId="0" xfId="127" applyFont="1" applyFill="1" applyBorder="1">
      <alignment/>
      <protection/>
    </xf>
    <xf numFmtId="0" fontId="96" fillId="0" borderId="0" xfId="127" applyFont="1">
      <alignment/>
      <protection/>
    </xf>
    <xf numFmtId="173" fontId="122" fillId="0" borderId="0" xfId="127" applyNumberFormat="1" applyFont="1">
      <alignment/>
      <protection/>
    </xf>
    <xf numFmtId="186" fontId="123" fillId="0" borderId="0" xfId="127" applyNumberFormat="1" applyFont="1">
      <alignment/>
      <protection/>
    </xf>
    <xf numFmtId="173" fontId="122" fillId="0" borderId="0" xfId="73" applyNumberFormat="1" applyFont="1" applyAlignment="1">
      <alignment/>
    </xf>
    <xf numFmtId="173" fontId="96" fillId="0" borderId="0" xfId="127" applyNumberFormat="1" applyFont="1">
      <alignment/>
      <protection/>
    </xf>
    <xf numFmtId="0" fontId="70" fillId="0" borderId="0" xfId="127" applyFont="1" applyAlignment="1">
      <alignment horizontal="center" wrapText="1"/>
      <protection/>
    </xf>
    <xf numFmtId="0" fontId="124" fillId="0" borderId="0" xfId="127" applyFont="1">
      <alignment/>
      <protection/>
    </xf>
    <xf numFmtId="172" fontId="3" fillId="0" borderId="0" xfId="126" applyFont="1" applyFill="1" applyAlignment="1" applyProtection="1">
      <alignment wrapText="1"/>
      <protection locked="0"/>
    </xf>
    <xf numFmtId="0" fontId="3" fillId="0" borderId="0" xfId="0" applyFont="1" applyAlignment="1">
      <alignment vertical="top" wrapText="1"/>
    </xf>
    <xf numFmtId="0" fontId="3" fillId="0" borderId="0" xfId="126" applyNumberFormat="1" applyFont="1" applyFill="1" applyAlignment="1" applyProtection="1">
      <alignment/>
      <protection locked="0"/>
    </xf>
    <xf numFmtId="0" fontId="3" fillId="0" borderId="0" xfId="126" applyNumberFormat="1" applyFont="1" applyFill="1" applyAlignment="1" applyProtection="1">
      <alignment/>
      <protection locked="0"/>
    </xf>
    <xf numFmtId="172" fontId="3" fillId="0" borderId="0" xfId="126" applyFont="1" applyFill="1" applyAlignment="1" applyProtection="1">
      <alignment/>
      <protection locked="0"/>
    </xf>
    <xf numFmtId="172" fontId="3" fillId="0" borderId="0" xfId="126" applyFont="1" applyFill="1" applyAlignment="1" applyProtection="1">
      <alignment wrapText="1"/>
      <protection locked="0"/>
    </xf>
    <xf numFmtId="0" fontId="3" fillId="0" borderId="0" xfId="0" applyFont="1" applyAlignment="1">
      <alignment vertical="top" wrapText="1"/>
    </xf>
    <xf numFmtId="172" fontId="3" fillId="0" borderId="0" xfId="126" applyFont="1" applyAlignment="1">
      <alignment/>
    </xf>
    <xf numFmtId="172" fontId="3" fillId="0" borderId="0" xfId="126" applyFont="1" applyAlignment="1">
      <alignment/>
    </xf>
    <xf numFmtId="172" fontId="3" fillId="0" borderId="0" xfId="126" applyFont="1" applyFill="1" applyAlignment="1">
      <alignment/>
    </xf>
    <xf numFmtId="0" fontId="0" fillId="0" borderId="0" xfId="0" applyFont="1" applyFill="1" applyAlignment="1">
      <alignment/>
    </xf>
    <xf numFmtId="0" fontId="91" fillId="0" borderId="0" xfId="126" applyNumberFormat="1" applyFont="1" applyFill="1" applyAlignment="1" applyProtection="1">
      <alignment horizontal="center"/>
      <protection locked="0"/>
    </xf>
    <xf numFmtId="0" fontId="3" fillId="0" borderId="0" xfId="126" applyNumberFormat="1" applyFont="1" applyFill="1" applyProtection="1">
      <alignment/>
      <protection locked="0"/>
    </xf>
    <xf numFmtId="172" fontId="3" fillId="0" borderId="0" xfId="126" applyFont="1" applyFill="1" applyAlignment="1" applyProtection="1">
      <alignment/>
      <protection locked="0"/>
    </xf>
    <xf numFmtId="172" fontId="4" fillId="0" borderId="0" xfId="126" applyFont="1" applyFill="1" applyAlignment="1">
      <alignment/>
    </xf>
    <xf numFmtId="0" fontId="0"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30" applyFont="1">
      <alignment/>
      <protection/>
    </xf>
    <xf numFmtId="0" fontId="9" fillId="0" borderId="0" xfId="130" applyFont="1" applyFill="1">
      <alignment/>
      <protection/>
    </xf>
    <xf numFmtId="0" fontId="0" fillId="0" borderId="0" xfId="123" applyFont="1" applyFill="1" applyBorder="1">
      <alignment/>
      <protection/>
    </xf>
    <xf numFmtId="0" fontId="3" fillId="0" borderId="0" xfId="123" applyFont="1" applyFill="1" applyAlignment="1">
      <alignment horizontal="center"/>
      <protection/>
    </xf>
    <xf numFmtId="0" fontId="0" fillId="0" borderId="0" xfId="123" applyFont="1" applyFill="1" applyBorder="1">
      <alignment/>
      <protection/>
    </xf>
    <xf numFmtId="0" fontId="9" fillId="0" borderId="0" xfId="0" applyFont="1" applyFill="1" applyAlignment="1">
      <alignment/>
    </xf>
    <xf numFmtId="0" fontId="9" fillId="0" borderId="0" xfId="0" applyFont="1" applyFill="1" applyAlignment="1">
      <alignment/>
    </xf>
    <xf numFmtId="0" fontId="9" fillId="0" borderId="0" xfId="0" applyFont="1" applyAlignment="1">
      <alignment horizontal="center"/>
    </xf>
    <xf numFmtId="41" fontId="24" fillId="0" borderId="0" xfId="126" applyNumberFormat="1" applyFont="1" applyFill="1" applyAlignment="1" applyProtection="1">
      <alignment wrapText="1"/>
      <protection locked="0"/>
    </xf>
    <xf numFmtId="0" fontId="1" fillId="0" borderId="0" xfId="129" applyFill="1" applyBorder="1">
      <alignment/>
      <protection/>
    </xf>
    <xf numFmtId="0" fontId="1" fillId="0" borderId="37" xfId="129" applyFont="1" applyFill="1" applyBorder="1">
      <alignment/>
      <protection/>
    </xf>
    <xf numFmtId="0" fontId="3" fillId="0" borderId="37" xfId="129" applyFont="1" applyFill="1" applyBorder="1">
      <alignment/>
      <protection/>
    </xf>
    <xf numFmtId="3" fontId="1" fillId="0" borderId="0" xfId="129" applyNumberFormat="1" applyFont="1" applyFill="1" applyBorder="1">
      <alignment/>
      <protection/>
    </xf>
    <xf numFmtId="3" fontId="1" fillId="0" borderId="38" xfId="129" applyNumberFormat="1" applyFill="1" applyBorder="1">
      <alignment/>
      <protection/>
    </xf>
    <xf numFmtId="173" fontId="0" fillId="0" borderId="15" xfId="0" applyNumberFormat="1" applyFont="1" applyBorder="1" applyAlignment="1">
      <alignment/>
    </xf>
    <xf numFmtId="41" fontId="3" fillId="27" borderId="0" xfId="126" applyNumberFormat="1" applyFont="1" applyFill="1" applyAlignment="1" applyProtection="1">
      <alignment/>
      <protection locked="0"/>
    </xf>
    <xf numFmtId="3" fontId="0" fillId="0" borderId="0" xfId="0" applyNumberFormat="1" applyFont="1" applyFill="1" applyAlignment="1" quotePrefix="1">
      <alignment/>
    </xf>
    <xf numFmtId="0" fontId="127" fillId="0" borderId="0" xfId="127" applyFont="1" applyFill="1">
      <alignment/>
      <protection/>
    </xf>
    <xf numFmtId="166" fontId="4" fillId="0" borderId="0" xfId="126" applyNumberFormat="1" applyFont="1" applyFill="1" applyAlignment="1" applyProtection="1">
      <alignment horizontal="right"/>
      <protection locked="0"/>
    </xf>
    <xf numFmtId="3" fontId="4" fillId="0" borderId="0" xfId="126" applyNumberFormat="1" applyFont="1" applyFill="1" applyBorder="1" applyAlignment="1" applyProtection="1">
      <alignment horizontal="right"/>
      <protection locked="0"/>
    </xf>
    <xf numFmtId="10" fontId="3" fillId="0" borderId="0" xfId="135" applyNumberFormat="1" applyFont="1" applyFill="1" applyAlignment="1" applyProtection="1">
      <alignment/>
      <protection locked="0"/>
    </xf>
    <xf numFmtId="10" fontId="3" fillId="0" borderId="6" xfId="135" applyNumberFormat="1" applyFont="1" applyFill="1" applyBorder="1" applyAlignment="1" applyProtection="1">
      <alignment/>
      <protection locked="0"/>
    </xf>
    <xf numFmtId="167" fontId="4" fillId="0" borderId="0" xfId="126" applyNumberFormat="1" applyFont="1" applyFill="1" applyAlignment="1" applyProtection="1">
      <alignment/>
      <protection locked="0"/>
    </xf>
    <xf numFmtId="182" fontId="3" fillId="0" borderId="6" xfId="75" applyNumberFormat="1" applyFont="1" applyFill="1" applyBorder="1" applyAlignment="1" applyProtection="1">
      <alignment horizontal="center"/>
      <protection locked="0"/>
    </xf>
    <xf numFmtId="174" fontId="8" fillId="28" borderId="0" xfId="85" applyNumberFormat="1" applyFont="1" applyFill="1" applyAlignment="1">
      <alignment/>
    </xf>
    <xf numFmtId="173" fontId="8" fillId="28" borderId="0" xfId="73" applyNumberFormat="1" applyFont="1" applyFill="1" applyBorder="1" applyAlignment="1">
      <alignment/>
    </xf>
    <xf numFmtId="173" fontId="8" fillId="28" borderId="11" xfId="73" applyNumberFormat="1" applyFont="1" applyFill="1" applyBorder="1" applyAlignment="1" applyProtection="1">
      <alignment/>
      <protection locked="0"/>
    </xf>
    <xf numFmtId="173" fontId="8" fillId="28" borderId="0" xfId="73" applyNumberFormat="1" applyFont="1" applyFill="1" applyAlignment="1">
      <alignment/>
    </xf>
    <xf numFmtId="173" fontId="8" fillId="28" borderId="0" xfId="73" applyNumberFormat="1" applyFont="1" applyFill="1" applyAlignment="1" applyProtection="1">
      <alignment/>
      <protection locked="0"/>
    </xf>
    <xf numFmtId="10" fontId="8" fillId="28" borderId="0" xfId="134" applyNumberFormat="1" applyFont="1" applyFill="1" applyAlignment="1">
      <alignment horizontal="right" wrapText="1"/>
    </xf>
    <xf numFmtId="10" fontId="0" fillId="28" borderId="0" xfId="134" applyNumberFormat="1" applyFont="1" applyFill="1" applyAlignment="1">
      <alignment horizontal="right" wrapText="1"/>
    </xf>
    <xf numFmtId="164" fontId="8" fillId="28" borderId="0" xfId="134" applyNumberFormat="1" applyFont="1" applyFill="1" applyAlignment="1">
      <alignment horizontal="right" wrapText="1"/>
    </xf>
    <xf numFmtId="44" fontId="8" fillId="28" borderId="0" xfId="85" applyFont="1" applyFill="1" applyAlignment="1">
      <alignment horizontal="right" wrapText="1"/>
    </xf>
    <xf numFmtId="44" fontId="0" fillId="28" borderId="0" xfId="85" applyFont="1" applyFill="1" applyAlignment="1">
      <alignment horizontal="right" wrapText="1"/>
    </xf>
    <xf numFmtId="173" fontId="0" fillId="28" borderId="0" xfId="73" applyNumberFormat="1" applyFont="1" applyFill="1" applyAlignment="1">
      <alignment/>
    </xf>
    <xf numFmtId="10" fontId="8" fillId="28" borderId="0" xfId="134" applyNumberFormat="1" applyFont="1" applyFill="1" applyAlignment="1">
      <alignment/>
    </xf>
    <xf numFmtId="44" fontId="8" fillId="28" borderId="0" xfId="85" applyFont="1" applyFill="1" applyAlignment="1">
      <alignment/>
    </xf>
    <xf numFmtId="10" fontId="0" fillId="28" borderId="0" xfId="134" applyNumberFormat="1" applyFont="1" applyFill="1" applyAlignment="1">
      <alignment/>
    </xf>
    <xf numFmtId="41" fontId="3" fillId="28" borderId="0" xfId="126" applyNumberFormat="1" applyFont="1" applyFill="1" applyAlignment="1" applyProtection="1">
      <alignment/>
      <protection locked="0"/>
    </xf>
    <xf numFmtId="41" fontId="3" fillId="28" borderId="6" xfId="126" applyNumberFormat="1" applyFont="1" applyFill="1" applyBorder="1" applyAlignment="1" applyProtection="1">
      <alignment/>
      <protection locked="0"/>
    </xf>
    <xf numFmtId="41" fontId="3" fillId="28" borderId="0" xfId="126" applyNumberFormat="1" applyFont="1" applyFill="1" applyAlignment="1" applyProtection="1">
      <alignment vertical="center"/>
      <protection locked="0"/>
    </xf>
    <xf numFmtId="41" fontId="18" fillId="28" borderId="0" xfId="126" applyNumberFormat="1" applyFont="1" applyFill="1" applyAlignment="1" applyProtection="1">
      <alignment/>
      <protection locked="0"/>
    </xf>
    <xf numFmtId="41" fontId="18" fillId="28" borderId="0" xfId="126" applyNumberFormat="1" applyFont="1" applyFill="1" applyBorder="1" applyAlignment="1" applyProtection="1">
      <alignment/>
      <protection locked="0"/>
    </xf>
    <xf numFmtId="41" fontId="18" fillId="28" borderId="6" xfId="126" applyNumberFormat="1" applyFont="1" applyFill="1" applyBorder="1" applyAlignment="1" applyProtection="1">
      <alignment/>
      <protection locked="0"/>
    </xf>
    <xf numFmtId="173" fontId="8" fillId="28" borderId="0" xfId="76" applyNumberFormat="1" applyFont="1" applyFill="1" applyBorder="1" applyAlignment="1">
      <alignment horizontal="right"/>
    </xf>
    <xf numFmtId="173" fontId="125" fillId="28" borderId="0" xfId="0" applyNumberFormat="1" applyFont="1" applyFill="1" applyBorder="1" applyAlignment="1">
      <alignment/>
    </xf>
    <xf numFmtId="37" fontId="8" fillId="28" borderId="0" xfId="0" applyNumberFormat="1" applyFont="1" applyFill="1" applyAlignment="1">
      <alignment/>
    </xf>
    <xf numFmtId="41" fontId="8" fillId="28" borderId="0" xfId="123" applyNumberFormat="1" applyFont="1" applyFill="1">
      <alignment/>
      <protection/>
    </xf>
    <xf numFmtId="3" fontId="8" fillId="28" borderId="0" xfId="0" applyNumberFormat="1" applyFont="1" applyFill="1" applyAlignment="1">
      <alignment/>
    </xf>
    <xf numFmtId="43" fontId="8" fillId="28" borderId="0" xfId="0" applyNumberFormat="1" applyFont="1" applyFill="1" applyAlignment="1">
      <alignment/>
    </xf>
    <xf numFmtId="43" fontId="8" fillId="28" borderId="0" xfId="73" applyFont="1" applyFill="1" applyAlignment="1">
      <alignment/>
    </xf>
    <xf numFmtId="173" fontId="8" fillId="28" borderId="0" xfId="83" applyNumberFormat="1" applyFont="1" applyFill="1" applyAlignment="1">
      <alignment/>
    </xf>
    <xf numFmtId="173" fontId="8" fillId="28" borderId="0" xfId="130" applyNumberFormat="1" applyFont="1" applyFill="1">
      <alignment/>
      <protection/>
    </xf>
    <xf numFmtId="41" fontId="18" fillId="28" borderId="0" xfId="123" applyNumberFormat="1" applyFont="1" applyFill="1" applyBorder="1">
      <alignment/>
      <protection/>
    </xf>
    <xf numFmtId="41" fontId="18" fillId="0" borderId="0" xfId="123" applyNumberFormat="1" applyFont="1" applyFill="1" applyBorder="1">
      <alignment/>
      <protection/>
    </xf>
    <xf numFmtId="3" fontId="18" fillId="28" borderId="0" xfId="0" applyNumberFormat="1" applyFont="1" applyFill="1" applyAlignment="1">
      <alignment/>
    </xf>
    <xf numFmtId="41" fontId="18" fillId="28" borderId="0" xfId="123" applyNumberFormat="1" applyFont="1" applyFill="1" applyBorder="1">
      <alignment/>
      <protection/>
    </xf>
    <xf numFmtId="173" fontId="73" fillId="28" borderId="0" xfId="127" applyNumberFormat="1" applyFont="1" applyFill="1" applyBorder="1">
      <alignment/>
      <protection/>
    </xf>
    <xf numFmtId="173" fontId="73" fillId="28" borderId="0" xfId="127" applyNumberFormat="1" applyFont="1" applyFill="1">
      <alignment/>
      <protection/>
    </xf>
    <xf numFmtId="0" fontId="16" fillId="28" borderId="0" xfId="123" applyFont="1" applyFill="1" applyAlignment="1">
      <alignment horizontal="left"/>
      <protection/>
    </xf>
    <xf numFmtId="0" fontId="118" fillId="28" borderId="0" xfId="123" applyFont="1" applyFill="1">
      <alignment/>
      <protection/>
    </xf>
    <xf numFmtId="0" fontId="0" fillId="28" borderId="0" xfId="123" applyFill="1">
      <alignment/>
      <protection/>
    </xf>
    <xf numFmtId="0" fontId="9" fillId="28" borderId="0" xfId="123" applyFont="1" applyFill="1" applyAlignment="1">
      <alignment horizontal="left"/>
      <protection/>
    </xf>
    <xf numFmtId="0" fontId="14" fillId="28" borderId="0" xfId="123" applyFont="1" applyFill="1">
      <alignment/>
      <protection/>
    </xf>
    <xf numFmtId="0" fontId="111" fillId="28" borderId="0" xfId="123" applyFont="1" applyFill="1">
      <alignment/>
      <protection/>
    </xf>
    <xf numFmtId="10" fontId="118" fillId="28" borderId="0" xfId="134" applyNumberFormat="1" applyFont="1" applyFill="1" applyAlignment="1">
      <alignment horizontal="center"/>
    </xf>
    <xf numFmtId="0" fontId="14" fillId="28" borderId="0" xfId="123" applyFont="1" applyFill="1" applyAlignment="1">
      <alignment horizontal="left"/>
      <protection/>
    </xf>
    <xf numFmtId="173" fontId="0" fillId="28" borderId="0" xfId="73" applyNumberFormat="1" applyFont="1" applyFill="1" applyAlignment="1">
      <alignment/>
    </xf>
    <xf numFmtId="0" fontId="0" fillId="28" borderId="0" xfId="123" applyFont="1" applyFill="1">
      <alignment/>
      <protection/>
    </xf>
    <xf numFmtId="0" fontId="8" fillId="28" borderId="0" xfId="123" applyFont="1" applyFill="1" applyAlignment="1">
      <alignment horizontal="left"/>
      <protection/>
    </xf>
    <xf numFmtId="164" fontId="8" fillId="28" borderId="0" xfId="134" applyNumberFormat="1" applyFont="1" applyFill="1" applyAlignment="1">
      <alignment horizontal="center"/>
    </xf>
    <xf numFmtId="0" fontId="8" fillId="28" borderId="0" xfId="123" applyFont="1" applyFill="1">
      <alignment/>
      <protection/>
    </xf>
    <xf numFmtId="0" fontId="9" fillId="28" borderId="0" xfId="123" applyFont="1" applyFill="1">
      <alignment/>
      <protection/>
    </xf>
    <xf numFmtId="0" fontId="111" fillId="28" borderId="0" xfId="123" applyFont="1" applyFill="1">
      <alignment/>
      <protection/>
    </xf>
    <xf numFmtId="173" fontId="0" fillId="28" borderId="0" xfId="73" applyNumberFormat="1" applyFill="1" applyAlignment="1">
      <alignment/>
    </xf>
    <xf numFmtId="10" fontId="0" fillId="28" borderId="0" xfId="134" applyNumberFormat="1" applyFont="1" applyFill="1" applyAlignment="1">
      <alignment horizontal="center"/>
    </xf>
    <xf numFmtId="0" fontId="8" fillId="28" borderId="0" xfId="123" applyFont="1" applyFill="1">
      <alignment/>
      <protection/>
    </xf>
    <xf numFmtId="173" fontId="8" fillId="28" borderId="0" xfId="73" applyNumberFormat="1" applyFont="1" applyFill="1" applyAlignment="1">
      <alignment/>
    </xf>
    <xf numFmtId="164" fontId="8" fillId="28" borderId="0" xfId="134" applyNumberFormat="1" applyFont="1" applyFill="1" applyAlignment="1">
      <alignment horizontal="center"/>
    </xf>
    <xf numFmtId="173" fontId="8" fillId="0" borderId="0" xfId="73" applyNumberFormat="1" applyFont="1" applyFill="1" applyAlignment="1">
      <alignment/>
    </xf>
    <xf numFmtId="41" fontId="8" fillId="28" borderId="0" xfId="123" applyNumberFormat="1" applyFont="1" applyFill="1" applyBorder="1">
      <alignment/>
      <protection/>
    </xf>
    <xf numFmtId="10" fontId="8" fillId="28" borderId="0" xfId="134" applyNumberFormat="1" applyFont="1" applyFill="1" applyAlignment="1">
      <alignment horizontal="center"/>
    </xf>
    <xf numFmtId="41" fontId="8" fillId="28" borderId="0" xfId="126" applyNumberFormat="1" applyFont="1" applyFill="1" applyAlignment="1" applyProtection="1">
      <alignment/>
      <protection locked="0"/>
    </xf>
    <xf numFmtId="41" fontId="8" fillId="28" borderId="6" xfId="126" applyNumberFormat="1" applyFont="1" applyFill="1" applyBorder="1" applyAlignment="1" applyProtection="1">
      <alignment/>
      <protection locked="0"/>
    </xf>
    <xf numFmtId="173" fontId="8" fillId="28" borderId="0" xfId="73" applyNumberFormat="1" applyFont="1" applyFill="1" applyBorder="1" applyAlignment="1">
      <alignment/>
    </xf>
    <xf numFmtId="173" fontId="20" fillId="28" borderId="0" xfId="73" applyNumberFormat="1" applyFont="1" applyFill="1" applyBorder="1" applyAlignment="1">
      <alignment/>
    </xf>
    <xf numFmtId="173" fontId="8" fillId="28" borderId="6" xfId="73" applyNumberFormat="1" applyFont="1" applyFill="1" applyBorder="1" applyAlignment="1" applyProtection="1">
      <alignment/>
      <protection locked="0"/>
    </xf>
    <xf numFmtId="173" fontId="8" fillId="28" borderId="11" xfId="73" applyNumberFormat="1" applyFont="1" applyFill="1" applyBorder="1" applyAlignment="1">
      <alignment/>
    </xf>
    <xf numFmtId="173" fontId="112" fillId="28" borderId="0" xfId="73" applyNumberFormat="1" applyFont="1" applyFill="1" applyBorder="1" applyAlignment="1">
      <alignment/>
    </xf>
    <xf numFmtId="197" fontId="8" fillId="28" borderId="0" xfId="123" applyNumberFormat="1" applyFont="1" applyFill="1">
      <alignment/>
      <protection/>
    </xf>
    <xf numFmtId="173" fontId="20" fillId="28" borderId="0" xfId="73" applyNumberFormat="1" applyFont="1" applyFill="1" applyAlignment="1">
      <alignment/>
    </xf>
    <xf numFmtId="170" fontId="18" fillId="28" borderId="0" xfId="125" applyNumberFormat="1" applyFont="1" applyFill="1" applyBorder="1" applyAlignment="1">
      <alignment horizontal="right"/>
    </xf>
    <xf numFmtId="170" fontId="18" fillId="28" borderId="6" xfId="0" applyNumberFormat="1" applyFont="1" applyFill="1" applyBorder="1" applyAlignment="1">
      <alignment horizontal="right"/>
    </xf>
    <xf numFmtId="3" fontId="18" fillId="28" borderId="0" xfId="73" applyNumberFormat="1" applyFont="1" applyFill="1" applyBorder="1" applyAlignment="1">
      <alignment horizontal="right"/>
    </xf>
    <xf numFmtId="41" fontId="8" fillId="28" borderId="11" xfId="123" applyNumberFormat="1" applyFont="1" applyFill="1" applyBorder="1">
      <alignment/>
      <protection/>
    </xf>
    <xf numFmtId="171" fontId="3" fillId="28" borderId="0" xfId="125" applyNumberFormat="1" applyFont="1" applyFill="1" applyBorder="1" applyAlignment="1">
      <alignment/>
    </xf>
    <xf numFmtId="10" fontId="18" fillId="28" borderId="0" xfId="126" applyNumberFormat="1" applyFont="1" applyFill="1" applyProtection="1">
      <alignment/>
      <protection locked="0"/>
    </xf>
    <xf numFmtId="10" fontId="18" fillId="28" borderId="0" xfId="0" applyNumberFormat="1" applyFont="1" applyFill="1" applyBorder="1" applyAlignment="1">
      <alignment/>
    </xf>
    <xf numFmtId="10" fontId="18" fillId="28" borderId="11" xfId="0" applyNumberFormat="1" applyFont="1" applyFill="1" applyBorder="1" applyAlignment="1">
      <alignment/>
    </xf>
    <xf numFmtId="0" fontId="8" fillId="28" borderId="0" xfId="73" applyNumberFormat="1" applyFont="1" applyFill="1" applyAlignment="1" applyProtection="1">
      <alignment/>
      <protection locked="0"/>
    </xf>
    <xf numFmtId="194" fontId="8" fillId="28" borderId="0" xfId="0" applyNumberFormat="1" applyFont="1" applyFill="1" applyAlignment="1">
      <alignment/>
    </xf>
    <xf numFmtId="0" fontId="0" fillId="28" borderId="0" xfId="0" applyFill="1" applyAlignment="1">
      <alignment horizontal="center"/>
    </xf>
    <xf numFmtId="0" fontId="8" fillId="28" borderId="0" xfId="0" applyFont="1" applyFill="1" applyAlignment="1">
      <alignment/>
    </xf>
    <xf numFmtId="170" fontId="18" fillId="28" borderId="0" xfId="0" applyNumberFormat="1" applyFont="1" applyFill="1" applyBorder="1" applyAlignment="1">
      <alignment horizontal="right"/>
    </xf>
    <xf numFmtId="41" fontId="18" fillId="0" borderId="0" xfId="126" applyNumberFormat="1" applyFont="1" applyFill="1" applyAlignment="1" applyProtection="1">
      <alignment/>
      <protection locked="0"/>
    </xf>
    <xf numFmtId="41" fontId="18" fillId="0" borderId="6" xfId="126" applyNumberFormat="1" applyFont="1" applyFill="1" applyBorder="1" applyAlignment="1" applyProtection="1">
      <alignment/>
      <protection locked="0"/>
    </xf>
    <xf numFmtId="10" fontId="18" fillId="28" borderId="0" xfId="134" applyNumberFormat="1" applyFont="1" applyFill="1" applyAlignment="1" applyProtection="1">
      <alignment/>
      <protection locked="0"/>
    </xf>
    <xf numFmtId="173" fontId="18" fillId="28" borderId="0" xfId="73" applyNumberFormat="1" applyFont="1" applyFill="1" applyAlignment="1" applyProtection="1">
      <alignment/>
      <protection locked="0"/>
    </xf>
    <xf numFmtId="188" fontId="18" fillId="28" borderId="0" xfId="134" applyNumberFormat="1" applyFont="1" applyFill="1" applyAlignment="1">
      <alignment/>
    </xf>
    <xf numFmtId="41" fontId="4" fillId="0" borderId="0" xfId="126" applyNumberFormat="1" applyFont="1" applyFill="1" applyAlignment="1" applyProtection="1">
      <alignment horizontal="center" vertical="center"/>
      <protection locked="0"/>
    </xf>
    <xf numFmtId="43" fontId="3" fillId="0" borderId="0" xfId="126" applyNumberFormat="1" applyFont="1" applyAlignment="1" applyProtection="1">
      <alignment/>
      <protection locked="0"/>
    </xf>
    <xf numFmtId="173" fontId="0" fillId="0" borderId="0" xfId="0" applyNumberFormat="1" applyFill="1" applyAlignment="1">
      <alignment/>
    </xf>
    <xf numFmtId="205" fontId="0" fillId="0" borderId="0" xfId="0" applyNumberFormat="1" applyAlignment="1" quotePrefix="1">
      <alignment horizontal="center"/>
    </xf>
    <xf numFmtId="0" fontId="0" fillId="0" borderId="0" xfId="0" applyAlignment="1">
      <alignment wrapText="1"/>
    </xf>
    <xf numFmtId="0" fontId="9" fillId="0" borderId="0" xfId="0" applyFont="1" applyAlignment="1">
      <alignment horizontal="center" wrapText="1"/>
    </xf>
    <xf numFmtId="0" fontId="9" fillId="0" borderId="11" xfId="0" applyFont="1" applyBorder="1" applyAlignment="1">
      <alignment horizontal="center"/>
    </xf>
    <xf numFmtId="0" fontId="0" fillId="0" borderId="0" xfId="0" applyAlignment="1">
      <alignment horizontal="center" wrapText="1"/>
    </xf>
    <xf numFmtId="172" fontId="72" fillId="0" borderId="0" xfId="126" applyFont="1" applyAlignment="1">
      <alignment horizontal="left" wrapText="1"/>
    </xf>
    <xf numFmtId="49" fontId="3" fillId="0" borderId="0" xfId="126" applyNumberFormat="1" applyFont="1" applyAlignment="1" applyProtection="1">
      <alignment horizontal="center"/>
      <protection locked="0"/>
    </xf>
    <xf numFmtId="0" fontId="0" fillId="0" borderId="0" xfId="0" applyAlignment="1">
      <alignment horizontal="center"/>
    </xf>
    <xf numFmtId="172" fontId="3" fillId="0" borderId="0" xfId="126"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4" fillId="0" borderId="0" xfId="126" applyNumberFormat="1" applyFont="1" applyFill="1" applyAlignment="1" applyProtection="1">
      <alignment horizontal="center"/>
      <protection locked="0"/>
    </xf>
    <xf numFmtId="172" fontId="3" fillId="0" borderId="0" xfId="126" applyFont="1" applyFill="1" applyAlignment="1" applyProtection="1">
      <alignment vertical="top" wrapText="1"/>
      <protection locked="0"/>
    </xf>
    <xf numFmtId="0" fontId="3" fillId="0" borderId="0" xfId="0" applyFont="1" applyAlignment="1">
      <alignment vertical="top" wrapText="1"/>
    </xf>
    <xf numFmtId="172" fontId="4" fillId="0" borderId="11" xfId="126" applyFont="1" applyBorder="1" applyAlignment="1" applyProtection="1">
      <alignment horizontal="center"/>
      <protection locked="0"/>
    </xf>
    <xf numFmtId="172" fontId="3" fillId="0" borderId="0" xfId="126" applyFont="1" applyFill="1" applyAlignment="1" applyProtection="1">
      <alignment wrapText="1"/>
      <protection locked="0"/>
    </xf>
    <xf numFmtId="0" fontId="3" fillId="0" borderId="0" xfId="126" applyNumberFormat="1" applyFont="1" applyFill="1" applyAlignment="1" applyProtection="1">
      <alignment horizontal="left" wrapText="1"/>
      <protection locked="0"/>
    </xf>
    <xf numFmtId="0" fontId="10" fillId="0" borderId="0" xfId="126" applyNumberFormat="1" applyFont="1" applyAlignment="1" applyProtection="1">
      <alignment horizontal="center"/>
      <protection locked="0"/>
    </xf>
    <xf numFmtId="0" fontId="12" fillId="0" borderId="0" xfId="0" applyFont="1" applyAlignment="1">
      <alignment/>
    </xf>
    <xf numFmtId="0" fontId="0" fillId="0" borderId="0" xfId="0" applyFont="1" applyAlignment="1">
      <alignment horizontal="center"/>
    </xf>
    <xf numFmtId="0" fontId="3" fillId="0" borderId="0" xfId="0" applyFont="1" applyAlignment="1">
      <alignment wrapText="1"/>
    </xf>
    <xf numFmtId="0" fontId="0" fillId="0" borderId="0" xfId="0" applyFont="1" applyAlignment="1">
      <alignment wrapText="1"/>
    </xf>
    <xf numFmtId="3" fontId="10" fillId="0" borderId="0" xfId="126" applyNumberFormat="1" applyFont="1" applyFill="1" applyAlignment="1" applyProtection="1">
      <alignment horizontal="center"/>
      <protection locked="0"/>
    </xf>
    <xf numFmtId="172" fontId="3" fillId="0" borderId="0" xfId="126" applyFont="1" applyAlignment="1">
      <alignment horizontal="left" wrapText="1"/>
    </xf>
    <xf numFmtId="172" fontId="3" fillId="0" borderId="0" xfId="126" applyFont="1" applyAlignment="1">
      <alignment horizontal="left" wrapText="1"/>
    </xf>
    <xf numFmtId="172" fontId="3" fillId="0" borderId="0" xfId="126" applyFont="1" applyAlignment="1">
      <alignment horizontal="justify" wrapText="1"/>
    </xf>
    <xf numFmtId="0" fontId="0" fillId="0" borderId="0" xfId="0" applyFont="1" applyAlignment="1">
      <alignment horizontal="justify" wrapText="1"/>
    </xf>
    <xf numFmtId="0" fontId="0" fillId="0" borderId="0" xfId="0" applyFont="1" applyAlignment="1">
      <alignment wrapText="1"/>
    </xf>
    <xf numFmtId="0" fontId="9" fillId="0" borderId="0" xfId="0" applyFont="1" applyFill="1" applyAlignment="1">
      <alignment wrapText="1"/>
    </xf>
    <xf numFmtId="0" fontId="3" fillId="0" borderId="0" xfId="126" applyNumberFormat="1" applyFont="1" applyFill="1" applyAlignment="1" applyProtection="1">
      <alignment vertical="top" wrapText="1"/>
      <protection locked="0"/>
    </xf>
    <xf numFmtId="0" fontId="0" fillId="0" borderId="0" xfId="0" applyFont="1" applyFill="1" applyAlignment="1">
      <alignment/>
    </xf>
    <xf numFmtId="172" fontId="3" fillId="0" borderId="0" xfId="126" applyFont="1" applyFill="1" applyAlignment="1" applyProtection="1">
      <alignment vertical="top" wrapText="1"/>
      <protection locked="0"/>
    </xf>
    <xf numFmtId="0" fontId="3" fillId="0" borderId="0" xfId="0" applyFont="1" applyAlignment="1">
      <alignment vertical="top" wrapText="1"/>
    </xf>
    <xf numFmtId="0" fontId="0" fillId="0" borderId="0" xfId="0" applyFont="1" applyAlignment="1">
      <alignment horizontal="center"/>
    </xf>
    <xf numFmtId="0" fontId="0" fillId="0" borderId="0" xfId="0" applyFont="1" applyFill="1" applyAlignment="1">
      <alignment/>
    </xf>
    <xf numFmtId="172" fontId="3" fillId="0" borderId="0" xfId="126" applyFont="1" applyFill="1" applyAlignment="1" applyProtection="1">
      <alignment wrapText="1"/>
      <protection locked="0"/>
    </xf>
    <xf numFmtId="0" fontId="3" fillId="0" borderId="0" xfId="126" applyNumberFormat="1" applyFont="1" applyFill="1" applyAlignment="1" applyProtection="1">
      <alignment horizontal="left" wrapText="1"/>
      <protection locked="0"/>
    </xf>
    <xf numFmtId="0" fontId="3" fillId="0" borderId="0" xfId="0" applyFont="1" applyAlignment="1">
      <alignment vertical="top" wrapText="1"/>
    </xf>
    <xf numFmtId="172" fontId="3" fillId="0" borderId="0" xfId="126" applyFont="1" applyFill="1" applyAlignment="1" applyProtection="1">
      <alignment wrapText="1"/>
      <protection locked="0"/>
    </xf>
    <xf numFmtId="0" fontId="3" fillId="0" borderId="0" xfId="126" applyNumberFormat="1" applyFont="1" applyFill="1" applyAlignment="1" applyProtection="1">
      <alignment horizontal="left" wrapText="1"/>
      <protection locked="0"/>
    </xf>
    <xf numFmtId="0" fontId="0" fillId="0" borderId="0" xfId="113" applyFont="1" applyFill="1" applyBorder="1" applyAlignment="1">
      <alignment horizontal="left" wrapText="1"/>
      <protection/>
    </xf>
    <xf numFmtId="0" fontId="16" fillId="0" borderId="0" xfId="113" applyFont="1" applyBorder="1" applyAlignment="1" quotePrefix="1">
      <alignment horizontal="center" wrapText="1"/>
      <protection/>
    </xf>
    <xf numFmtId="0" fontId="12" fillId="0" borderId="0" xfId="0" applyFont="1" applyAlignment="1">
      <alignment horizontal="center" wrapText="1"/>
    </xf>
    <xf numFmtId="0" fontId="3" fillId="0" borderId="0" xfId="113" applyFont="1" applyBorder="1" applyAlignment="1">
      <alignment horizontal="center"/>
      <protection/>
    </xf>
    <xf numFmtId="0" fontId="3" fillId="0" borderId="0" xfId="0" applyFont="1" applyAlignment="1">
      <alignment horizontal="center"/>
    </xf>
    <xf numFmtId="49" fontId="3" fillId="0" borderId="0" xfId="113" applyNumberFormat="1" applyFont="1" applyBorder="1" applyAlignment="1">
      <alignment horizontal="center"/>
      <protection/>
    </xf>
    <xf numFmtId="0" fontId="16" fillId="0" borderId="0" xfId="123" applyFont="1" applyAlignment="1">
      <alignment horizontal="center" wrapText="1"/>
      <protection/>
    </xf>
    <xf numFmtId="3" fontId="3" fillId="0" borderId="0" xfId="0" applyNumberFormat="1" applyFont="1" applyAlignment="1">
      <alignment horizontal="center"/>
    </xf>
    <xf numFmtId="0" fontId="76" fillId="0" borderId="0" xfId="113" applyNumberFormat="1" applyFont="1" applyFill="1" applyBorder="1" applyAlignment="1">
      <alignment horizontal="center"/>
      <protection/>
    </xf>
    <xf numFmtId="0" fontId="76" fillId="0" borderId="0" xfId="123" applyFont="1" applyFill="1" applyAlignment="1">
      <alignment horizontal="center"/>
      <protection/>
    </xf>
    <xf numFmtId="0" fontId="16" fillId="0" borderId="0" xfId="123" applyFont="1" applyBorder="1" applyAlignment="1">
      <alignment horizontal="center" wrapText="1"/>
      <protection/>
    </xf>
    <xf numFmtId="0" fontId="12" fillId="0" borderId="0" xfId="0" applyFont="1" applyBorder="1" applyAlignment="1">
      <alignment horizontal="center" wrapText="1"/>
    </xf>
    <xf numFmtId="0" fontId="76" fillId="0" borderId="0" xfId="0" applyFont="1" applyFill="1" applyAlignment="1">
      <alignment horizontal="center"/>
    </xf>
    <xf numFmtId="0" fontId="9" fillId="0" borderId="0" xfId="130" applyFont="1" applyFill="1" applyAlignment="1">
      <alignment wrapText="1"/>
      <protection/>
    </xf>
    <xf numFmtId="172" fontId="0" fillId="0" borderId="0" xfId="126" applyFont="1" applyFill="1" applyAlignment="1" applyProtection="1">
      <alignment vertical="top" wrapText="1"/>
      <protection locked="0"/>
    </xf>
    <xf numFmtId="0" fontId="0" fillId="0" borderId="0" xfId="0" applyFont="1" applyAlignment="1">
      <alignment vertical="top" wrapText="1"/>
    </xf>
    <xf numFmtId="3" fontId="2" fillId="0" borderId="0" xfId="0" applyNumberFormat="1" applyFont="1" applyAlignment="1">
      <alignment horizontal="center"/>
    </xf>
    <xf numFmtId="0" fontId="10" fillId="0" borderId="0" xfId="130" applyFont="1" applyFill="1" applyAlignment="1">
      <alignment horizontal="center"/>
      <protection/>
    </xf>
    <xf numFmtId="0" fontId="70" fillId="0" borderId="11" xfId="127" applyFont="1" applyBorder="1" applyAlignment="1">
      <alignment horizontal="center"/>
      <protection/>
    </xf>
    <xf numFmtId="49" fontId="3" fillId="0" borderId="0" xfId="73" applyNumberFormat="1" applyFont="1" applyAlignment="1">
      <alignment horizontal="center"/>
    </xf>
    <xf numFmtId="0" fontId="0" fillId="0" borderId="0" xfId="0" applyAlignment="1">
      <alignment/>
    </xf>
    <xf numFmtId="0" fontId="67" fillId="0" borderId="0" xfId="127" applyFont="1" applyAlignment="1">
      <alignment wrapText="1"/>
      <protection/>
    </xf>
    <xf numFmtId="0" fontId="0" fillId="0" borderId="0" xfId="0" applyAlignment="1">
      <alignment horizontal="left" wrapText="1"/>
    </xf>
    <xf numFmtId="0" fontId="2" fillId="0" borderId="0" xfId="113" applyFont="1" applyBorder="1" applyAlignment="1">
      <alignment horizontal="center"/>
      <protection/>
    </xf>
    <xf numFmtId="0" fontId="2" fillId="0" borderId="0" xfId="0" applyFont="1" applyAlignment="1">
      <alignment horizontal="center"/>
    </xf>
    <xf numFmtId="0" fontId="0" fillId="0" borderId="0" xfId="0" applyNumberFormat="1" applyAlignment="1">
      <alignment horizontal="left" wrapText="1"/>
    </xf>
    <xf numFmtId="173" fontId="92" fillId="0" borderId="0" xfId="73" applyNumberFormat="1" applyFont="1" applyBorder="1" applyAlignment="1">
      <alignment horizontal="center"/>
    </xf>
    <xf numFmtId="172" fontId="0" fillId="0" borderId="29" xfId="126"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Alignment="1">
      <alignment horizontal="left" vertical="center" wrapText="1"/>
    </xf>
    <xf numFmtId="0" fontId="0" fillId="0" borderId="0" xfId="0" applyFont="1" applyFill="1" applyBorder="1" applyAlignment="1">
      <alignment wrapText="1"/>
    </xf>
    <xf numFmtId="0" fontId="89" fillId="0" borderId="0" xfId="123" applyFont="1" applyAlignment="1">
      <alignment horizontal="center" wrapText="1"/>
      <protection/>
    </xf>
    <xf numFmtId="0" fontId="0" fillId="0" borderId="0" xfId="0" applyFont="1" applyAlignment="1">
      <alignment horizontal="center" wrapText="1"/>
    </xf>
    <xf numFmtId="0" fontId="2" fillId="0" borderId="0" xfId="0" applyFont="1" applyFill="1" applyAlignment="1">
      <alignment horizontal="center" wrapText="1"/>
    </xf>
    <xf numFmtId="3" fontId="0" fillId="0" borderId="0" xfId="0" applyNumberFormat="1" applyAlignment="1">
      <alignment horizontal="center"/>
    </xf>
    <xf numFmtId="0" fontId="0" fillId="0" borderId="0" xfId="123" applyFont="1" applyFill="1" applyAlignment="1">
      <alignment horizontal="left" wrapText="1"/>
      <protection/>
    </xf>
    <xf numFmtId="41" fontId="9" fillId="0" borderId="0" xfId="123" applyNumberFormat="1" applyFont="1" applyFill="1" applyBorder="1" applyAlignment="1">
      <alignment horizontal="center" wrapText="1"/>
      <protection/>
    </xf>
    <xf numFmtId="0" fontId="108" fillId="0" borderId="0" xfId="123" applyFont="1" applyFill="1" applyAlignment="1">
      <alignment horizontal="left" wrapText="1"/>
      <protection/>
    </xf>
    <xf numFmtId="0" fontId="58" fillId="0" borderId="0" xfId="0" applyFont="1" applyAlignment="1">
      <alignment horizontal="left" vertical="top" wrapText="1"/>
    </xf>
    <xf numFmtId="0" fontId="9" fillId="0" borderId="0" xfId="123" applyFont="1" applyFill="1" applyAlignment="1">
      <alignment horizontal="left" vertical="top" wrapText="1"/>
      <protection/>
    </xf>
    <xf numFmtId="0" fontId="9" fillId="0" borderId="0" xfId="0" applyFont="1" applyAlignment="1">
      <alignment horizontal="center" wrapText="1"/>
    </xf>
    <xf numFmtId="0" fontId="8" fillId="28" borderId="0" xfId="0" applyFont="1" applyFill="1" applyAlignment="1">
      <alignment wrapText="1"/>
    </xf>
    <xf numFmtId="0" fontId="9" fillId="0" borderId="0" xfId="0" applyFont="1" applyAlignment="1">
      <alignment horizontal="left" wrapText="1"/>
    </xf>
    <xf numFmtId="3" fontId="3" fillId="0" borderId="0" xfId="113" applyNumberFormat="1" applyFont="1" applyAlignment="1">
      <alignment horizontal="center"/>
      <protection/>
    </xf>
    <xf numFmtId="0" fontId="4" fillId="0" borderId="0" xfId="129" applyFont="1" applyAlignment="1">
      <alignment horizontal="left" wrapText="1"/>
      <protection/>
    </xf>
    <xf numFmtId="0" fontId="3" fillId="0" borderId="0" xfId="129" applyFont="1" applyAlignment="1">
      <alignment horizontal="left" wrapText="1"/>
      <protection/>
    </xf>
    <xf numFmtId="0" fontId="99" fillId="0" borderId="0" xfId="129" applyFont="1" applyAlignment="1">
      <alignment horizontal="center"/>
      <protection/>
    </xf>
    <xf numFmtId="3" fontId="99" fillId="0" borderId="0" xfId="129" applyNumberFormat="1" applyFont="1" applyAlignment="1">
      <alignment horizontal="center"/>
      <protection/>
    </xf>
    <xf numFmtId="0" fontId="72" fillId="0" borderId="11" xfId="129" applyFont="1" applyBorder="1" applyAlignment="1">
      <alignment wrapText="1"/>
      <protection/>
    </xf>
    <xf numFmtId="0" fontId="0" fillId="0" borderId="11" xfId="0" applyBorder="1" applyAlignment="1">
      <alignment wrapText="1"/>
    </xf>
    <xf numFmtId="0" fontId="0" fillId="0" borderId="0" xfId="123" applyFont="1" applyFill="1" applyAlignment="1">
      <alignment horizontal="left" vertical="top" wrapText="1"/>
      <protection/>
    </xf>
    <xf numFmtId="0" fontId="9" fillId="0" borderId="0" xfId="131" applyFont="1" applyAlignment="1">
      <alignment horizontal="center"/>
      <protection/>
    </xf>
  </cellXfs>
  <cellStyles count="1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 3 3" xfId="79"/>
    <cellStyle name="Comma 3 4" xfId="80"/>
    <cellStyle name="Comma 4" xfId="81"/>
    <cellStyle name="Comma 5" xfId="82"/>
    <cellStyle name="Comma_spp calc - revsd rev crd" xfId="83"/>
    <cellStyle name="Comma0" xfId="84"/>
    <cellStyle name="Currency" xfId="85"/>
    <cellStyle name="Currency [0]" xfId="86"/>
    <cellStyle name="Currency 2" xfId="87"/>
    <cellStyle name="Currency 2 2" xfId="88"/>
    <cellStyle name="Currency 3" xfId="89"/>
    <cellStyle name="Currency 3 2" xfId="90"/>
    <cellStyle name="Currency 3 3" xfId="91"/>
    <cellStyle name="Currency 3 4" xfId="92"/>
    <cellStyle name="Currency 4" xfId="93"/>
    <cellStyle name="Currency 5" xfId="94"/>
    <cellStyle name="Currency0" xfId="95"/>
    <cellStyle name="Date" xfId="96"/>
    <cellStyle name="Explanatory Text" xfId="97"/>
    <cellStyle name="Fixed" xfId="98"/>
    <cellStyle name="Followed Hyperlink" xfId="99"/>
    <cellStyle name="Good" xfId="100"/>
    <cellStyle name="Heading 1" xfId="101"/>
    <cellStyle name="Heading 2" xfId="102"/>
    <cellStyle name="Heading 3" xfId="103"/>
    <cellStyle name="Heading 4" xfId="104"/>
    <cellStyle name="Heading1" xfId="105"/>
    <cellStyle name="Heading2" xfId="106"/>
    <cellStyle name="Hyperlink" xfId="107"/>
    <cellStyle name="Input" xfId="108"/>
    <cellStyle name="Linked Cell" xfId="109"/>
    <cellStyle name="Neutral" xfId="110"/>
    <cellStyle name="Normal 2" xfId="111"/>
    <cellStyle name="Normal 3" xfId="112"/>
    <cellStyle name="Normal 3 2" xfId="113"/>
    <cellStyle name="Normal 3_OPCo Period I PJM  Formula Rate" xfId="114"/>
    <cellStyle name="Normal 4" xfId="115"/>
    <cellStyle name="Normal 4 2" xfId="116"/>
    <cellStyle name="Normal 4 3" xfId="117"/>
    <cellStyle name="Normal 4 4" xfId="118"/>
    <cellStyle name="Normal 4_PBOP Exhibit 1" xfId="119"/>
    <cellStyle name="Normal 5" xfId="120"/>
    <cellStyle name="Normal 5 2" xfId="121"/>
    <cellStyle name="Normal 6" xfId="122"/>
    <cellStyle name="Normal_ADITAnalysisID090805" xfId="123"/>
    <cellStyle name="Normal_AU Period 2 Rev 4-27-00" xfId="124"/>
    <cellStyle name="Normal_Copy of PATH Formula Rate 2010 Projection Filed Sept 1, 2009 R1" xfId="125"/>
    <cellStyle name="Normal_FN1 Ratebase Draft SPP template (6-11-04) v2" xfId="126"/>
    <cellStyle name="Normal_I&amp;M-AK-1" xfId="127"/>
    <cellStyle name="Normal_OPCo Period I PJM  Formula Rate" xfId="128"/>
    <cellStyle name="Normal_Revised 1-21-10  Deprec Summary" xfId="129"/>
    <cellStyle name="Normal_spp calc - revsd rev crd" xfId="130"/>
    <cellStyle name="Normal_Worksheet Q Draft dwb edits" xfId="131"/>
    <cellStyle name="Note" xfId="132"/>
    <cellStyle name="Output" xfId="133"/>
    <cellStyle name="Percent" xfId="134"/>
    <cellStyle name="Percent 2" xfId="135"/>
    <cellStyle name="Percent 2 2" xfId="136"/>
    <cellStyle name="Percent 3" xfId="137"/>
    <cellStyle name="Percent 3 2" xfId="138"/>
    <cellStyle name="Percent 3 3" xfId="139"/>
    <cellStyle name="Percent 3 4" xfId="140"/>
    <cellStyle name="Percent 4" xfId="141"/>
    <cellStyle name="Percent 4 2" xfId="142"/>
    <cellStyle name="Percent 5" xfId="143"/>
    <cellStyle name="PSChar" xfId="144"/>
    <cellStyle name="PSDate" xfId="145"/>
    <cellStyle name="PSDec" xfId="146"/>
    <cellStyle name="PSdesc" xfId="147"/>
    <cellStyle name="PSHeading" xfId="148"/>
    <cellStyle name="PSInt" xfId="149"/>
    <cellStyle name="PSSpacer" xfId="150"/>
    <cellStyle name="PStest" xfId="151"/>
    <cellStyle name="R00A" xfId="152"/>
    <cellStyle name="R00B" xfId="153"/>
    <cellStyle name="R00L" xfId="154"/>
    <cellStyle name="R01A" xfId="155"/>
    <cellStyle name="R01B" xfId="156"/>
    <cellStyle name="R01H" xfId="157"/>
    <cellStyle name="R01L" xfId="158"/>
    <cellStyle name="R02A" xfId="159"/>
    <cellStyle name="R02B" xfId="160"/>
    <cellStyle name="R02H" xfId="161"/>
    <cellStyle name="R02L" xfId="162"/>
    <cellStyle name="R03A" xfId="163"/>
    <cellStyle name="R03B" xfId="164"/>
    <cellStyle name="R03H" xfId="165"/>
    <cellStyle name="R03L" xfId="166"/>
    <cellStyle name="R04A" xfId="167"/>
    <cellStyle name="R04B" xfId="168"/>
    <cellStyle name="R04H" xfId="169"/>
    <cellStyle name="R04L" xfId="170"/>
    <cellStyle name="R05A" xfId="171"/>
    <cellStyle name="R05B" xfId="172"/>
    <cellStyle name="R05H" xfId="173"/>
    <cellStyle name="R05L" xfId="174"/>
    <cellStyle name="R06A" xfId="175"/>
    <cellStyle name="R06B" xfId="176"/>
    <cellStyle name="R06H" xfId="177"/>
    <cellStyle name="R06L" xfId="178"/>
    <cellStyle name="R07A" xfId="179"/>
    <cellStyle name="R07B" xfId="180"/>
    <cellStyle name="R07H" xfId="181"/>
    <cellStyle name="R07L" xfId="182"/>
    <cellStyle name="Title" xfId="183"/>
    <cellStyle name="Total" xfId="184"/>
    <cellStyle name="Warning Text" xfId="185"/>
  </cellStyles>
  <dxfs count="3">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34">
      <selection activeCell="E3" sqref="E3:N3"/>
    </sheetView>
  </sheetViews>
  <sheetFormatPr defaultColWidth="9.140625" defaultRowHeight="12.75"/>
  <cols>
    <col min="1" max="1" width="24.140625" style="0" customWidth="1"/>
    <col min="2" max="2" width="13.8515625" style="0" customWidth="1"/>
    <col min="3" max="4" width="16.140625" style="0" customWidth="1"/>
    <col min="14" max="14" width="9.8515625" style="0" bestFit="1" customWidth="1"/>
  </cols>
  <sheetData>
    <row r="1" ht="12.75">
      <c r="A1" s="839" t="s">
        <v>423</v>
      </c>
    </row>
    <row r="2" ht="12.75">
      <c r="A2" s="839"/>
    </row>
    <row r="3" spans="1:14" ht="26.25" customHeight="1">
      <c r="A3" s="522" t="s">
        <v>376</v>
      </c>
      <c r="B3" s="1165" t="s">
        <v>377</v>
      </c>
      <c r="C3" s="1165" t="s">
        <v>378</v>
      </c>
      <c r="D3" s="1165" t="s">
        <v>204</v>
      </c>
      <c r="E3" s="1166" t="s">
        <v>379</v>
      </c>
      <c r="F3" s="1166"/>
      <c r="G3" s="1166"/>
      <c r="H3" s="1166"/>
      <c r="I3" s="1166"/>
      <c r="J3" s="1166"/>
      <c r="K3" s="1166"/>
      <c r="L3" s="1166"/>
      <c r="M3" s="1166"/>
      <c r="N3" s="1166"/>
    </row>
    <row r="4" spans="2:4" ht="12.75">
      <c r="B4" s="1165"/>
      <c r="C4" s="1165"/>
      <c r="D4" s="1167"/>
    </row>
    <row r="5" spans="1:5" ht="12.75">
      <c r="A5" t="s">
        <v>128</v>
      </c>
      <c r="B5" t="s">
        <v>122</v>
      </c>
      <c r="C5" t="s">
        <v>381</v>
      </c>
      <c r="D5" s="6">
        <v>1</v>
      </c>
      <c r="E5" t="s">
        <v>375</v>
      </c>
    </row>
    <row r="6" spans="1:5" ht="12.75">
      <c r="A6" t="s">
        <v>124</v>
      </c>
      <c r="B6" t="s">
        <v>122</v>
      </c>
      <c r="C6" t="s">
        <v>381</v>
      </c>
      <c r="D6" s="6">
        <v>1</v>
      </c>
      <c r="E6" t="s">
        <v>123</v>
      </c>
    </row>
    <row r="7" ht="5.25" customHeight="1">
      <c r="D7" s="6"/>
    </row>
    <row r="8" spans="1:5" ht="12.75">
      <c r="A8" t="s">
        <v>126</v>
      </c>
      <c r="B8" t="s">
        <v>380</v>
      </c>
      <c r="C8" t="s">
        <v>382</v>
      </c>
      <c r="D8" s="6">
        <v>3</v>
      </c>
      <c r="E8" t="s">
        <v>374</v>
      </c>
    </row>
    <row r="9" spans="1:5" ht="12.75">
      <c r="A9" t="s">
        <v>124</v>
      </c>
      <c r="B9" t="s">
        <v>127</v>
      </c>
      <c r="C9" t="s">
        <v>382</v>
      </c>
      <c r="D9" s="6">
        <v>3</v>
      </c>
      <c r="E9" t="s">
        <v>125</v>
      </c>
    </row>
    <row r="10" ht="4.5" customHeight="1">
      <c r="D10" s="6"/>
    </row>
    <row r="11" spans="1:5" ht="12.75">
      <c r="A11" t="s">
        <v>410</v>
      </c>
      <c r="B11" t="s">
        <v>408</v>
      </c>
      <c r="C11" t="s">
        <v>409</v>
      </c>
      <c r="D11" s="847" t="s">
        <v>192</v>
      </c>
      <c r="E11" t="s">
        <v>411</v>
      </c>
    </row>
    <row r="12" ht="4.5" customHeight="1">
      <c r="D12" s="6"/>
    </row>
    <row r="13" spans="1:5" ht="12.75">
      <c r="A13" t="s">
        <v>415</v>
      </c>
      <c r="B13" t="s">
        <v>412</v>
      </c>
      <c r="C13" t="s">
        <v>416</v>
      </c>
      <c r="D13" s="6">
        <v>9</v>
      </c>
      <c r="E13" t="s">
        <v>417</v>
      </c>
    </row>
    <row r="14" ht="4.5" customHeight="1">
      <c r="D14" s="6"/>
    </row>
    <row r="15" spans="1:5" ht="12.75">
      <c r="A15" t="s">
        <v>410</v>
      </c>
      <c r="B15" t="s">
        <v>412</v>
      </c>
      <c r="C15" t="s">
        <v>413</v>
      </c>
      <c r="D15" s="6">
        <v>9</v>
      </c>
      <c r="E15" t="s">
        <v>414</v>
      </c>
    </row>
    <row r="16" ht="4.5" customHeight="1">
      <c r="D16" s="6"/>
    </row>
    <row r="17" spans="1:5" ht="12.75">
      <c r="A17" t="s">
        <v>128</v>
      </c>
      <c r="B17" t="s">
        <v>129</v>
      </c>
      <c r="C17" s="1164" t="s">
        <v>389</v>
      </c>
      <c r="D17" s="254" t="s">
        <v>193</v>
      </c>
      <c r="E17" t="s">
        <v>23</v>
      </c>
    </row>
    <row r="18" spans="3:4" ht="12.75">
      <c r="C18" s="1164"/>
      <c r="D18" s="254"/>
    </row>
    <row r="19" spans="1:5" ht="12.75">
      <c r="A19" t="s">
        <v>128</v>
      </c>
      <c r="B19" t="s">
        <v>47</v>
      </c>
      <c r="C19" t="s">
        <v>407</v>
      </c>
      <c r="D19" s="6">
        <v>7</v>
      </c>
      <c r="E19" t="s">
        <v>48</v>
      </c>
    </row>
    <row r="20" ht="4.5" customHeight="1">
      <c r="D20" s="6"/>
    </row>
    <row r="21" spans="1:5" ht="12.75">
      <c r="A21" t="s">
        <v>128</v>
      </c>
      <c r="B21" t="s">
        <v>418</v>
      </c>
      <c r="C21" t="s">
        <v>416</v>
      </c>
      <c r="D21" s="6">
        <v>9</v>
      </c>
      <c r="E21" t="s">
        <v>419</v>
      </c>
    </row>
    <row r="22" ht="4.5" customHeight="1">
      <c r="D22" s="6"/>
    </row>
    <row r="23" spans="1:13" ht="12.75">
      <c r="A23" t="s">
        <v>126</v>
      </c>
      <c r="B23" t="s">
        <v>44</v>
      </c>
      <c r="C23" t="s">
        <v>402</v>
      </c>
      <c r="D23" s="6">
        <v>7</v>
      </c>
      <c r="E23" s="1164" t="s">
        <v>46</v>
      </c>
      <c r="F23" s="1164"/>
      <c r="G23" s="1164"/>
      <c r="H23" s="1164"/>
      <c r="I23" s="1164"/>
      <c r="J23" s="1164"/>
      <c r="K23" s="1164"/>
      <c r="L23" s="1164"/>
      <c r="M23" s="1164"/>
    </row>
    <row r="24" spans="1:13" ht="12.75">
      <c r="A24" t="s">
        <v>124</v>
      </c>
      <c r="B24" t="s">
        <v>45</v>
      </c>
      <c r="C24" t="s">
        <v>402</v>
      </c>
      <c r="D24" s="6">
        <v>7</v>
      </c>
      <c r="E24" s="1164"/>
      <c r="F24" s="1164"/>
      <c r="G24" s="1164"/>
      <c r="H24" s="1164"/>
      <c r="I24" s="1164"/>
      <c r="J24" s="1164"/>
      <c r="K24" s="1164"/>
      <c r="L24" s="1164"/>
      <c r="M24" s="1164"/>
    </row>
    <row r="25" ht="4.5" customHeight="1">
      <c r="D25" s="6"/>
    </row>
    <row r="26" spans="1:5" ht="12.75">
      <c r="A26" t="s">
        <v>124</v>
      </c>
      <c r="B26" t="s">
        <v>130</v>
      </c>
      <c r="C26" t="s">
        <v>384</v>
      </c>
      <c r="D26" s="6">
        <v>3</v>
      </c>
      <c r="E26" t="s">
        <v>131</v>
      </c>
    </row>
    <row r="27" spans="4:14" ht="4.5" customHeight="1">
      <c r="D27" s="6"/>
      <c r="N27" s="531"/>
    </row>
    <row r="28" spans="1:5" ht="12.75">
      <c r="A28" t="s">
        <v>124</v>
      </c>
      <c r="B28" t="s">
        <v>132</v>
      </c>
      <c r="C28" t="s">
        <v>385</v>
      </c>
      <c r="D28" s="6">
        <v>4</v>
      </c>
      <c r="E28" t="s">
        <v>133</v>
      </c>
    </row>
    <row r="29" ht="4.5" customHeight="1">
      <c r="D29" s="6"/>
    </row>
    <row r="30" spans="1:14" ht="12.75">
      <c r="A30" t="s">
        <v>124</v>
      </c>
      <c r="B30" t="s">
        <v>134</v>
      </c>
      <c r="C30" t="s">
        <v>386</v>
      </c>
      <c r="D30" s="6">
        <v>4</v>
      </c>
      <c r="E30" t="s">
        <v>387</v>
      </c>
      <c r="N30" s="531"/>
    </row>
    <row r="31" spans="4:14" ht="4.5" customHeight="1">
      <c r="D31" s="6"/>
      <c r="N31" s="531"/>
    </row>
    <row r="32" spans="1:14" ht="12.75">
      <c r="A32" t="s">
        <v>49</v>
      </c>
      <c r="C32" t="s">
        <v>407</v>
      </c>
      <c r="D32" s="6">
        <v>7</v>
      </c>
      <c r="E32" t="s">
        <v>404</v>
      </c>
      <c r="N32" s="531"/>
    </row>
    <row r="33" spans="4:14" ht="4.5" customHeight="1">
      <c r="D33" s="6"/>
      <c r="N33" s="531"/>
    </row>
    <row r="34" spans="1:14" ht="12.75">
      <c r="A34" t="s">
        <v>51</v>
      </c>
      <c r="C34" t="s">
        <v>407</v>
      </c>
      <c r="D34" s="6">
        <v>7</v>
      </c>
      <c r="E34" t="s">
        <v>405</v>
      </c>
      <c r="N34" s="531"/>
    </row>
    <row r="35" spans="4:14" ht="4.5" customHeight="1">
      <c r="D35" s="6"/>
      <c r="N35" s="531"/>
    </row>
    <row r="36" spans="1:14" ht="12.75" customHeight="1">
      <c r="A36" t="s">
        <v>51</v>
      </c>
      <c r="C36" t="s">
        <v>197</v>
      </c>
      <c r="D36" s="6">
        <v>7</v>
      </c>
      <c r="E36" t="s">
        <v>196</v>
      </c>
      <c r="N36" s="531"/>
    </row>
    <row r="37" spans="4:14" ht="4.5" customHeight="1">
      <c r="D37" s="6"/>
      <c r="N37" s="531"/>
    </row>
    <row r="38" spans="1:14" ht="12.75">
      <c r="A38" t="s">
        <v>53</v>
      </c>
      <c r="C38" t="s">
        <v>407</v>
      </c>
      <c r="D38" s="6">
        <v>7</v>
      </c>
      <c r="E38" t="s">
        <v>406</v>
      </c>
      <c r="N38" s="475"/>
    </row>
    <row r="39" spans="4:14" ht="3.75" customHeight="1">
      <c r="D39" s="6"/>
      <c r="N39" s="475"/>
    </row>
    <row r="40" spans="1:14" ht="12.75">
      <c r="A40" t="s">
        <v>54</v>
      </c>
      <c r="C40" t="s">
        <v>403</v>
      </c>
      <c r="D40" s="6">
        <v>8</v>
      </c>
      <c r="E40" t="s">
        <v>392</v>
      </c>
      <c r="N40" s="475"/>
    </row>
    <row r="41" spans="1:14" ht="12.75">
      <c r="A41" t="s">
        <v>54</v>
      </c>
      <c r="C41" t="s">
        <v>403</v>
      </c>
      <c r="D41" s="6">
        <v>8</v>
      </c>
      <c r="E41" t="s">
        <v>56</v>
      </c>
      <c r="N41" s="475"/>
    </row>
    <row r="42" spans="1:12" ht="12.75">
      <c r="A42" t="s">
        <v>54</v>
      </c>
      <c r="C42" t="s">
        <v>403</v>
      </c>
      <c r="D42" s="6">
        <v>8</v>
      </c>
      <c r="E42" s="1164" t="s">
        <v>55</v>
      </c>
      <c r="F42" s="1164"/>
      <c r="G42" s="1164"/>
      <c r="H42" s="1164"/>
      <c r="I42" s="1164"/>
      <c r="J42" s="1164"/>
      <c r="K42" s="1164"/>
      <c r="L42" s="1164"/>
    </row>
    <row r="43" spans="4:12" ht="12.75">
      <c r="D43" s="6"/>
      <c r="E43" s="1164"/>
      <c r="F43" s="1164"/>
      <c r="G43" s="1164"/>
      <c r="H43" s="1164"/>
      <c r="I43" s="1164"/>
      <c r="J43" s="1164"/>
      <c r="K43" s="1164"/>
      <c r="L43" s="1164"/>
    </row>
    <row r="44" spans="4:12" ht="4.5" customHeight="1">
      <c r="D44" s="6"/>
      <c r="E44" s="136"/>
      <c r="F44" s="136"/>
      <c r="G44" s="136"/>
      <c r="H44" s="136"/>
      <c r="I44" s="136"/>
      <c r="J44" s="136"/>
      <c r="K44" s="136"/>
      <c r="L44" s="136"/>
    </row>
    <row r="45" spans="1:12" ht="12.75">
      <c r="A45" t="s">
        <v>393</v>
      </c>
      <c r="C45" t="s">
        <v>402</v>
      </c>
      <c r="D45" s="6">
        <v>7</v>
      </c>
      <c r="E45" s="1164" t="s">
        <v>394</v>
      </c>
      <c r="F45" s="1164"/>
      <c r="G45" s="1164"/>
      <c r="H45" s="1164"/>
      <c r="I45" s="1164"/>
      <c r="J45" s="1164"/>
      <c r="K45" s="1164"/>
      <c r="L45" s="1164"/>
    </row>
    <row r="46" spans="4:12" ht="12.75">
      <c r="D46" s="6"/>
      <c r="E46" s="1164"/>
      <c r="F46" s="1164"/>
      <c r="G46" s="1164"/>
      <c r="H46" s="1164"/>
      <c r="I46" s="1164"/>
      <c r="J46" s="1164"/>
      <c r="K46" s="1164"/>
      <c r="L46" s="1164"/>
    </row>
    <row r="47" ht="4.5" customHeight="1">
      <c r="D47" s="6"/>
    </row>
    <row r="48" spans="1:5" ht="12.75">
      <c r="A48" t="s">
        <v>57</v>
      </c>
      <c r="C48" t="s">
        <v>401</v>
      </c>
      <c r="D48" s="6">
        <v>8</v>
      </c>
      <c r="E48" t="s">
        <v>60</v>
      </c>
    </row>
    <row r="49" spans="1:5" ht="12.75">
      <c r="A49" t="s">
        <v>57</v>
      </c>
      <c r="C49" t="s">
        <v>401</v>
      </c>
      <c r="D49" s="6">
        <v>8</v>
      </c>
      <c r="E49" t="s">
        <v>61</v>
      </c>
    </row>
    <row r="50" ht="4.5" customHeight="1">
      <c r="D50" s="6"/>
    </row>
    <row r="51" spans="1:12" ht="12.75">
      <c r="A51" t="s">
        <v>817</v>
      </c>
      <c r="C51" t="s">
        <v>818</v>
      </c>
      <c r="D51" s="6">
        <v>8</v>
      </c>
      <c r="E51" s="1164" t="s">
        <v>821</v>
      </c>
      <c r="F51" s="1164"/>
      <c r="G51" s="1164"/>
      <c r="H51" s="1164"/>
      <c r="I51" s="1164"/>
      <c r="J51" s="1164"/>
      <c r="K51" s="1164"/>
      <c r="L51" s="1164"/>
    </row>
    <row r="52" spans="4:12" ht="12.75" customHeight="1">
      <c r="D52" s="6"/>
      <c r="E52" s="1164"/>
      <c r="F52" s="1164"/>
      <c r="G52" s="1164"/>
      <c r="H52" s="1164"/>
      <c r="I52" s="1164"/>
      <c r="J52" s="1164"/>
      <c r="K52" s="1164"/>
      <c r="L52" s="1164"/>
    </row>
    <row r="53" spans="4:12" ht="3.75" customHeight="1">
      <c r="D53" s="6"/>
      <c r="E53" s="136"/>
      <c r="F53" s="136"/>
      <c r="G53" s="136"/>
      <c r="H53" s="136"/>
      <c r="I53" s="136"/>
      <c r="J53" s="136"/>
      <c r="K53" s="136"/>
      <c r="L53" s="136"/>
    </row>
    <row r="54" spans="1:5" ht="12.75">
      <c r="A54" t="s">
        <v>232</v>
      </c>
      <c r="C54" t="s">
        <v>395</v>
      </c>
      <c r="D54" s="6">
        <v>5</v>
      </c>
      <c r="E54" t="s">
        <v>388</v>
      </c>
    </row>
    <row r="55" ht="4.5" customHeight="1">
      <c r="D55" s="6"/>
    </row>
    <row r="56" spans="1:5" ht="12.75">
      <c r="A56" t="s">
        <v>232</v>
      </c>
      <c r="C56" t="s">
        <v>396</v>
      </c>
      <c r="D56" s="6">
        <v>5</v>
      </c>
      <c r="E56" t="s">
        <v>391</v>
      </c>
    </row>
    <row r="57" ht="4.5" customHeight="1">
      <c r="D57" s="6"/>
    </row>
    <row r="58" spans="1:5" ht="12.75">
      <c r="A58" t="s">
        <v>232</v>
      </c>
      <c r="C58" t="s">
        <v>397</v>
      </c>
      <c r="D58" s="6">
        <v>5</v>
      </c>
      <c r="E58" t="s">
        <v>234</v>
      </c>
    </row>
    <row r="59" ht="4.5" customHeight="1">
      <c r="D59" s="6"/>
    </row>
    <row r="60" spans="1:5" ht="12.75">
      <c r="A60" t="s">
        <v>232</v>
      </c>
      <c r="C60" t="s">
        <v>398</v>
      </c>
      <c r="D60" s="6">
        <v>5</v>
      </c>
      <c r="E60" t="s">
        <v>390</v>
      </c>
    </row>
    <row r="61" ht="4.5" customHeight="1">
      <c r="D61" s="6"/>
    </row>
    <row r="62" spans="1:5" ht="12.75">
      <c r="A62" t="s">
        <v>238</v>
      </c>
      <c r="C62" t="s">
        <v>383</v>
      </c>
      <c r="D62" s="6">
        <v>2</v>
      </c>
      <c r="E62" t="s">
        <v>240</v>
      </c>
    </row>
    <row r="63" ht="4.5" customHeight="1">
      <c r="D63" s="6"/>
    </row>
    <row r="64" spans="1:5" ht="12.75">
      <c r="A64" t="s">
        <v>238</v>
      </c>
      <c r="C64" t="s">
        <v>399</v>
      </c>
      <c r="D64" s="6">
        <v>2</v>
      </c>
      <c r="E64" t="s">
        <v>239</v>
      </c>
    </row>
    <row r="65" ht="4.5" customHeight="1">
      <c r="D65" s="6"/>
    </row>
    <row r="66" spans="1:5" ht="12.75">
      <c r="A66" t="s">
        <v>230</v>
      </c>
      <c r="C66" t="s">
        <v>400</v>
      </c>
      <c r="D66" s="6">
        <v>4</v>
      </c>
      <c r="E66" t="s">
        <v>231</v>
      </c>
    </row>
    <row r="67" ht="4.5" customHeight="1">
      <c r="D67" s="6"/>
    </row>
    <row r="68" spans="1:5" ht="12.75">
      <c r="A68" t="s">
        <v>226</v>
      </c>
      <c r="E68" t="s">
        <v>228</v>
      </c>
    </row>
    <row r="69" ht="12.75">
      <c r="E69" t="s">
        <v>229</v>
      </c>
    </row>
  </sheetData>
  <sheetProtection/>
  <mergeCells count="9">
    <mergeCell ref="E51:L52"/>
    <mergeCell ref="B3:B4"/>
    <mergeCell ref="C3:C4"/>
    <mergeCell ref="E3:N3"/>
    <mergeCell ref="D3:D4"/>
    <mergeCell ref="E42:L43"/>
    <mergeCell ref="C17:C18"/>
    <mergeCell ref="E45:L46"/>
    <mergeCell ref="E23:M24"/>
  </mergeCells>
  <printOptions/>
  <pageMargins left="0.75" right="0.75" top="0.4" bottom="0.49" header="0.18" footer="0.21"/>
  <pageSetup fitToHeight="1" fitToWidth="1" horizontalDpi="600" verticalDpi="600" orientation="landscape" scale="76" r:id="rId1"/>
</worksheet>
</file>

<file path=xl/worksheets/sheet10.xml><?xml version="1.0" encoding="utf-8"?>
<worksheet xmlns="http://schemas.openxmlformats.org/spreadsheetml/2006/main" xmlns:r="http://schemas.openxmlformats.org/officeDocument/2006/relationships">
  <sheetPr>
    <pageSetUpPr fitToPage="1"/>
  </sheetPr>
  <dimension ref="A1:AN72"/>
  <sheetViews>
    <sheetView zoomScale="75" zoomScaleNormal="75" zoomScalePageLayoutView="0" workbookViewId="0" topLeftCell="A1">
      <selection activeCell="E22" sqref="E22"/>
    </sheetView>
  </sheetViews>
  <sheetFormatPr defaultColWidth="9.140625" defaultRowHeight="12.75"/>
  <cols>
    <col min="1" max="1" width="10.421875" style="191" customWidth="1"/>
    <col min="2" max="2" width="15.140625" style="152" customWidth="1"/>
    <col min="3" max="3" width="57.7109375" style="111" customWidth="1"/>
    <col min="4" max="4" width="15.7109375" style="111" customWidth="1"/>
    <col min="5" max="5" width="20.7109375" style="111" customWidth="1"/>
    <col min="6" max="6" width="17.28125" style="111" customWidth="1"/>
    <col min="7" max="7" width="41.8515625" style="111" customWidth="1"/>
    <col min="8" max="8" width="13.8515625" style="111" customWidth="1"/>
    <col min="9" max="9" width="9.140625" style="111" customWidth="1"/>
    <col min="10" max="10" width="12.421875" style="111" bestFit="1" customWidth="1"/>
    <col min="11" max="11" width="13.28125" style="111" customWidth="1"/>
    <col min="12" max="16384" width="9.140625" style="111" customWidth="1"/>
  </cols>
  <sheetData>
    <row r="1" spans="1:8" ht="15">
      <c r="A1" s="1207" t="str">
        <f>'Historic TCOS'!$F$3</f>
        <v>AEPTCo subsidiaries in PJM</v>
      </c>
      <c r="B1" s="1207" t="str">
        <f>'Historic TCOS'!$F$3</f>
        <v>AEPTCo subsidiaries in PJM</v>
      </c>
      <c r="C1" s="1207" t="str">
        <f>'Historic TCOS'!$F$3</f>
        <v>AEPTCo subsidiaries in PJM</v>
      </c>
      <c r="D1" s="1207" t="str">
        <f>'Historic TCOS'!$F$3</f>
        <v>AEPTCo subsidiaries in PJM</v>
      </c>
      <c r="E1" s="1207" t="str">
        <f>'Historic TCOS'!$F$3</f>
        <v>AEPTCo subsidiaries in PJM</v>
      </c>
      <c r="F1" s="1207" t="str">
        <f>'Historic TCOS'!$F$3</f>
        <v>AEPTCo subsidiaries in PJM</v>
      </c>
      <c r="G1" s="1207" t="str">
        <f>'Historic TCOS'!$F$3</f>
        <v>AEPTCo subsidiaries in PJM</v>
      </c>
      <c r="H1" s="171"/>
    </row>
    <row r="2" spans="1:11" ht="12.75" customHeight="1">
      <c r="A2" s="1206" t="str">
        <f>"Cost of Service Formula Rate Using "&amp;'Historic TCOS'!O1&amp;" FF1 Balances"</f>
        <v>Cost of Service Formula Rate Using 2014 FF1 Balances</v>
      </c>
      <c r="B2" s="1206"/>
      <c r="C2" s="1206"/>
      <c r="D2" s="1206"/>
      <c r="E2" s="1206"/>
      <c r="F2" s="1206"/>
      <c r="G2" s="1206"/>
      <c r="H2" s="274"/>
      <c r="I2" s="274"/>
      <c r="J2" s="274"/>
      <c r="K2" s="274"/>
    </row>
    <row r="3" spans="1:7" ht="12.75" customHeight="1">
      <c r="A3" s="1206" t="s">
        <v>274</v>
      </c>
      <c r="B3" s="1206"/>
      <c r="C3" s="1206"/>
      <c r="D3" s="1206"/>
      <c r="E3" s="1206"/>
      <c r="F3" s="1206"/>
      <c r="G3" s="1206"/>
    </row>
    <row r="4" spans="1:7" ht="12.75" customHeight="1">
      <c r="A4" s="1210" t="str">
        <f>+'WS A  - RB Support '!A4:F4</f>
        <v>AEP KENTUCKY TRANSMISSION COMPANY</v>
      </c>
      <c r="B4" s="1210"/>
      <c r="C4" s="1210"/>
      <c r="D4" s="1210"/>
      <c r="E4" s="1210"/>
      <c r="F4" s="1210"/>
      <c r="G4" s="1210"/>
    </row>
    <row r="5" spans="1:7" ht="12.75" customHeight="1">
      <c r="A5" s="1207"/>
      <c r="B5" s="1207"/>
      <c r="C5" s="1207"/>
      <c r="D5" s="1207"/>
      <c r="E5" s="1207"/>
      <c r="F5" s="1207"/>
      <c r="G5" s="178"/>
    </row>
    <row r="6" spans="1:7" ht="17.25">
      <c r="A6" s="1219"/>
      <c r="B6" s="1219"/>
      <c r="C6" s="1219"/>
      <c r="D6" s="1219"/>
      <c r="E6" s="1219"/>
      <c r="F6" s="1219"/>
      <c r="G6" s="1219"/>
    </row>
    <row r="7" spans="1:7" ht="17.25">
      <c r="A7" s="513"/>
      <c r="B7" s="513"/>
      <c r="C7" s="513"/>
      <c r="D7" s="513"/>
      <c r="E7" s="513"/>
      <c r="F7" s="513"/>
      <c r="G7" s="513"/>
    </row>
    <row r="8" spans="2:7" ht="15">
      <c r="B8" s="168" t="s">
        <v>601</v>
      </c>
      <c r="C8" s="168" t="s">
        <v>602</v>
      </c>
      <c r="D8" s="168" t="s">
        <v>603</v>
      </c>
      <c r="E8" s="168" t="s">
        <v>604</v>
      </c>
      <c r="F8" s="168" t="s">
        <v>522</v>
      </c>
      <c r="G8" s="168" t="s">
        <v>523</v>
      </c>
    </row>
    <row r="9" spans="2:7" ht="15">
      <c r="B9" s="183"/>
      <c r="C9" s="178"/>
      <c r="D9" s="592"/>
      <c r="E9" s="593"/>
      <c r="F9" s="594" t="s">
        <v>525</v>
      </c>
      <c r="G9" s="168"/>
    </row>
    <row r="10" spans="1:7" ht="15">
      <c r="A10" s="186" t="s">
        <v>608</v>
      </c>
      <c r="B10" s="183"/>
      <c r="C10" s="192"/>
      <c r="D10" s="186">
        <f>+'Historic TCOS'!O1</f>
        <v>2014</v>
      </c>
      <c r="E10" s="594" t="s">
        <v>525</v>
      </c>
      <c r="F10" s="186" t="s">
        <v>556</v>
      </c>
      <c r="G10" s="168"/>
    </row>
    <row r="11" spans="1:7" ht="15">
      <c r="A11" s="186" t="s">
        <v>546</v>
      </c>
      <c r="B11" s="186" t="s">
        <v>505</v>
      </c>
      <c r="C11" s="186" t="s">
        <v>606</v>
      </c>
      <c r="D11" s="186" t="s">
        <v>506</v>
      </c>
      <c r="E11" s="186" t="s">
        <v>527</v>
      </c>
      <c r="F11" s="186" t="s">
        <v>507</v>
      </c>
      <c r="G11" s="186" t="s">
        <v>508</v>
      </c>
    </row>
    <row r="12" spans="1:7" ht="15">
      <c r="A12" s="185"/>
      <c r="B12" s="186"/>
      <c r="C12" s="186"/>
      <c r="D12" s="186"/>
      <c r="E12" s="186"/>
      <c r="F12" s="186"/>
      <c r="G12" s="186"/>
    </row>
    <row r="13" spans="1:7" ht="15">
      <c r="A13" s="185"/>
      <c r="B13" s="186"/>
      <c r="C13" s="186"/>
      <c r="D13" s="186"/>
      <c r="E13" s="186"/>
      <c r="F13" s="186"/>
      <c r="G13" s="186"/>
    </row>
    <row r="14" spans="1:7" ht="15">
      <c r="A14" s="185"/>
      <c r="B14" s="186"/>
      <c r="D14" s="186"/>
      <c r="E14" s="186"/>
      <c r="F14" s="186"/>
      <c r="G14" s="186"/>
    </row>
    <row r="15" spans="1:7" ht="15">
      <c r="A15" s="185"/>
      <c r="B15" s="186"/>
      <c r="C15" s="186" t="s">
        <v>284</v>
      </c>
      <c r="D15" s="176"/>
      <c r="E15" s="176"/>
      <c r="F15" s="176"/>
      <c r="G15" s="259"/>
    </row>
    <row r="16" spans="1:7" ht="15">
      <c r="A16" s="185">
        <v>1</v>
      </c>
      <c r="B16" s="739" t="s">
        <v>282</v>
      </c>
      <c r="C16" s="175" t="s">
        <v>283</v>
      </c>
      <c r="D16" s="1104">
        <v>0</v>
      </c>
      <c r="E16" s="225"/>
      <c r="F16" s="225"/>
      <c r="G16" s="224"/>
    </row>
    <row r="17" spans="1:7" ht="15">
      <c r="A17" s="185">
        <f>+A16+1</f>
        <v>2</v>
      </c>
      <c r="D17" s="1104"/>
      <c r="E17" s="225"/>
      <c r="F17" s="225"/>
      <c r="G17" s="175"/>
    </row>
    <row r="18" spans="1:7" ht="15">
      <c r="A18" s="185">
        <f>+A17+1</f>
        <v>3</v>
      </c>
      <c r="B18" s="186"/>
      <c r="C18" s="175"/>
      <c r="D18" s="1104"/>
      <c r="E18" s="225"/>
      <c r="F18" s="225"/>
      <c r="G18" s="175"/>
    </row>
    <row r="19" spans="1:7" ht="15">
      <c r="A19" s="185">
        <f>+A18+1</f>
        <v>4</v>
      </c>
      <c r="B19" s="186"/>
      <c r="C19" s="688" t="s">
        <v>559</v>
      </c>
      <c r="D19" s="195">
        <f>SUM(D16:D18)</f>
        <v>0</v>
      </c>
      <c r="E19" s="225"/>
      <c r="F19" s="225"/>
      <c r="G19" s="186"/>
    </row>
    <row r="20" spans="1:7" ht="15">
      <c r="A20" s="185"/>
      <c r="B20" s="186"/>
      <c r="C20" s="688"/>
      <c r="D20" s="738"/>
      <c r="E20" s="176"/>
      <c r="F20" s="176"/>
      <c r="G20" s="186"/>
    </row>
    <row r="21" spans="1:7" ht="15">
      <c r="A21" s="150"/>
      <c r="B21" s="186"/>
      <c r="C21" s="186" t="s">
        <v>43</v>
      </c>
      <c r="D21" s="875"/>
      <c r="E21" s="176"/>
      <c r="F21" s="176"/>
      <c r="G21" s="186"/>
    </row>
    <row r="22" spans="1:7" ht="15">
      <c r="A22" s="185">
        <f>+A19+1</f>
        <v>5</v>
      </c>
      <c r="B22" s="1053" t="s">
        <v>29</v>
      </c>
      <c r="C22" s="1053" t="s">
        <v>24</v>
      </c>
      <c r="D22" s="1104">
        <v>0</v>
      </c>
      <c r="E22" s="176"/>
      <c r="F22" s="176"/>
      <c r="G22" s="186"/>
    </row>
    <row r="23" spans="1:7" ht="15">
      <c r="A23" s="1054">
        <f>+A22+1</f>
        <v>6</v>
      </c>
      <c r="B23" s="1055" t="s">
        <v>28</v>
      </c>
      <c r="C23" s="1055" t="s">
        <v>25</v>
      </c>
      <c r="D23" s="1104">
        <v>0</v>
      </c>
      <c r="E23" s="176"/>
      <c r="F23" s="176"/>
      <c r="G23" s="186"/>
    </row>
    <row r="24" spans="1:7" ht="15">
      <c r="A24" s="185">
        <f>+A23+1</f>
        <v>7</v>
      </c>
      <c r="B24" s="1053" t="s">
        <v>30</v>
      </c>
      <c r="C24" s="1053" t="s">
        <v>26</v>
      </c>
      <c r="D24" s="1104">
        <v>0</v>
      </c>
      <c r="E24" s="176"/>
      <c r="F24" s="176"/>
      <c r="G24" s="186"/>
    </row>
    <row r="25" spans="1:7" ht="15">
      <c r="A25" s="1054">
        <f aca="true" t="shared" si="0" ref="A25:A30">+A24+1</f>
        <v>8</v>
      </c>
      <c r="B25" s="1055" t="s">
        <v>31</v>
      </c>
      <c r="C25" s="1055" t="s">
        <v>27</v>
      </c>
      <c r="D25" s="1104">
        <v>0</v>
      </c>
      <c r="E25" s="176"/>
      <c r="F25" s="176"/>
      <c r="G25" s="186"/>
    </row>
    <row r="26" spans="1:7" ht="15">
      <c r="A26" s="185">
        <f t="shared" si="0"/>
        <v>9</v>
      </c>
      <c r="B26" s="1053" t="s">
        <v>32</v>
      </c>
      <c r="C26" s="1053" t="s">
        <v>36</v>
      </c>
      <c r="D26" s="1104">
        <v>238</v>
      </c>
      <c r="E26" s="176"/>
      <c r="F26" s="176"/>
      <c r="G26" s="186"/>
    </row>
    <row r="27" spans="1:7" ht="15">
      <c r="A27" s="1054">
        <f t="shared" si="0"/>
        <v>10</v>
      </c>
      <c r="B27" s="1055" t="s">
        <v>33</v>
      </c>
      <c r="C27" s="1055" t="s">
        <v>39</v>
      </c>
      <c r="D27" s="1104">
        <v>0</v>
      </c>
      <c r="E27" s="176"/>
      <c r="F27" s="176"/>
      <c r="G27" s="186"/>
    </row>
    <row r="28" spans="1:7" ht="15">
      <c r="A28" s="185">
        <f t="shared" si="0"/>
        <v>11</v>
      </c>
      <c r="B28" s="1053" t="s">
        <v>34</v>
      </c>
      <c r="C28" s="1053" t="s">
        <v>40</v>
      </c>
      <c r="D28" s="1104">
        <v>0</v>
      </c>
      <c r="E28" s="176"/>
      <c r="F28" s="176"/>
      <c r="G28" s="186"/>
    </row>
    <row r="29" spans="1:7" ht="15">
      <c r="A29" s="1054">
        <f t="shared" si="0"/>
        <v>12</v>
      </c>
      <c r="B29" s="1055" t="s">
        <v>35</v>
      </c>
      <c r="C29" s="1055" t="s">
        <v>41</v>
      </c>
      <c r="D29" s="1104">
        <v>0</v>
      </c>
      <c r="E29" s="176"/>
      <c r="F29" s="176"/>
      <c r="G29" s="186"/>
    </row>
    <row r="30" spans="1:7" ht="15">
      <c r="A30" s="185">
        <f t="shared" si="0"/>
        <v>13</v>
      </c>
      <c r="B30" s="1053" t="s">
        <v>37</v>
      </c>
      <c r="C30" s="1053" t="s">
        <v>42</v>
      </c>
      <c r="D30" s="1104">
        <v>0</v>
      </c>
      <c r="E30" s="176"/>
      <c r="F30" s="176"/>
      <c r="G30" s="186"/>
    </row>
    <row r="31" spans="1:7" ht="15">
      <c r="A31" s="191">
        <f>+A30+1</f>
        <v>14</v>
      </c>
      <c r="B31" s="876"/>
      <c r="C31" s="168" t="s">
        <v>38</v>
      </c>
      <c r="D31" s="195">
        <f>SUM(D22:D30)</f>
        <v>238</v>
      </c>
      <c r="E31" s="186"/>
      <c r="F31" s="186"/>
      <c r="G31" s="186"/>
    </row>
    <row r="32" spans="1:7" ht="15">
      <c r="A32" s="680"/>
      <c r="B32" s="224"/>
      <c r="C32" s="186"/>
      <c r="D32" s="186"/>
      <c r="E32" s="186"/>
      <c r="F32" s="186"/>
      <c r="G32" s="186"/>
    </row>
    <row r="33" spans="1:7" ht="15">
      <c r="A33" s="680"/>
      <c r="B33" s="185"/>
      <c r="C33" s="305" t="s">
        <v>687</v>
      </c>
      <c r="D33" s="178"/>
      <c r="E33" s="178"/>
      <c r="F33" s="178"/>
      <c r="G33" s="178"/>
    </row>
    <row r="34" spans="1:7" ht="15">
      <c r="A34" s="185">
        <f>+A31+1</f>
        <v>15</v>
      </c>
      <c r="B34" s="303" t="s">
        <v>635</v>
      </c>
      <c r="C34" s="1106" t="s">
        <v>747</v>
      </c>
      <c r="D34" s="1104">
        <v>0</v>
      </c>
      <c r="E34" s="176">
        <f>+D34</f>
        <v>0</v>
      </c>
      <c r="F34" s="176">
        <v>0</v>
      </c>
      <c r="G34" s="175"/>
    </row>
    <row r="35" spans="1:7" ht="15">
      <c r="A35" s="185">
        <f>+A34+1</f>
        <v>16</v>
      </c>
      <c r="B35" s="304" t="s">
        <v>662</v>
      </c>
      <c r="C35" s="1106" t="s">
        <v>748</v>
      </c>
      <c r="D35" s="1104">
        <v>0</v>
      </c>
      <c r="E35" s="176">
        <f>+D35</f>
        <v>0</v>
      </c>
      <c r="F35" s="176">
        <v>0</v>
      </c>
      <c r="G35" s="175"/>
    </row>
    <row r="36" spans="1:7" ht="15">
      <c r="A36" s="185">
        <f>+A35+1</f>
        <v>17</v>
      </c>
      <c r="B36" s="304" t="s">
        <v>636</v>
      </c>
      <c r="C36" s="1106" t="s">
        <v>749</v>
      </c>
      <c r="D36" s="1104">
        <v>0</v>
      </c>
      <c r="E36" s="176">
        <f>+D36</f>
        <v>0</v>
      </c>
      <c r="F36" s="176">
        <v>0</v>
      </c>
      <c r="G36" s="175"/>
    </row>
    <row r="37" spans="1:7" ht="15">
      <c r="A37" s="185">
        <f>+A36+1</f>
        <v>18</v>
      </c>
      <c r="B37" s="303" t="s">
        <v>636</v>
      </c>
      <c r="C37" s="1106" t="s">
        <v>749</v>
      </c>
      <c r="D37" s="1104">
        <v>0</v>
      </c>
      <c r="E37" s="176">
        <f>+D37</f>
        <v>0</v>
      </c>
      <c r="F37" s="176">
        <v>0</v>
      </c>
      <c r="G37" s="259"/>
    </row>
    <row r="38" spans="1:7" ht="15">
      <c r="A38" s="185">
        <f>+A37+1</f>
        <v>19</v>
      </c>
      <c r="B38" s="303" t="s">
        <v>636</v>
      </c>
      <c r="C38" s="1106" t="s">
        <v>749</v>
      </c>
      <c r="D38" s="1104">
        <v>0</v>
      </c>
      <c r="E38" s="176">
        <f>+D38</f>
        <v>0</v>
      </c>
      <c r="F38" s="176">
        <v>0</v>
      </c>
      <c r="G38" s="259"/>
    </row>
    <row r="39" spans="1:7" ht="15">
      <c r="A39" s="185"/>
      <c r="B39" s="303"/>
      <c r="C39" s="175"/>
      <c r="D39" s="1105"/>
      <c r="E39" s="176"/>
      <c r="F39" s="176"/>
      <c r="G39" s="175"/>
    </row>
    <row r="40" spans="1:7" ht="12.75" customHeight="1">
      <c r="A40" s="185"/>
      <c r="B40" s="177" t="s">
        <v>555</v>
      </c>
      <c r="C40" s="218"/>
      <c r="D40" s="179"/>
      <c r="E40" s="180"/>
      <c r="F40" s="181"/>
      <c r="G40" s="178"/>
    </row>
    <row r="41" spans="1:7" ht="15.75" customHeight="1">
      <c r="A41" s="185">
        <f>+A38+1</f>
        <v>20</v>
      </c>
      <c r="B41" s="183"/>
      <c r="C41" s="688" t="s">
        <v>559</v>
      </c>
      <c r="D41" s="195">
        <f>SUM(D34:D39)</f>
        <v>0</v>
      </c>
      <c r="E41" s="195">
        <f>SUM(E34:E39)</f>
        <v>0</v>
      </c>
      <c r="F41" s="195">
        <f>SUM(F34:F39)</f>
        <v>0</v>
      </c>
      <c r="G41" s="154"/>
    </row>
    <row r="42" spans="1:7" ht="12.75" customHeight="1">
      <c r="A42" s="185"/>
      <c r="B42" s="183"/>
      <c r="C42" s="184"/>
      <c r="D42" s="223"/>
      <c r="E42" s="164"/>
      <c r="F42" s="164"/>
      <c r="G42" s="178"/>
    </row>
    <row r="43" spans="1:7" ht="15">
      <c r="A43" s="185"/>
      <c r="B43" s="185"/>
      <c r="C43" s="305" t="s">
        <v>686</v>
      </c>
      <c r="D43" s="164"/>
      <c r="E43" s="164"/>
      <c r="F43" s="164"/>
      <c r="G43" s="178"/>
    </row>
    <row r="44" spans="1:40" ht="15">
      <c r="A44" s="185">
        <f>+A41+1</f>
        <v>21</v>
      </c>
      <c r="B44" s="303" t="s">
        <v>750</v>
      </c>
      <c r="C44" s="1106" t="s">
        <v>751</v>
      </c>
      <c r="D44" s="1107">
        <v>0</v>
      </c>
      <c r="E44" s="176">
        <f>+D44</f>
        <v>0</v>
      </c>
      <c r="F44" s="176">
        <v>0</v>
      </c>
      <c r="G44"/>
      <c r="M44" s="153"/>
      <c r="N44" s="219"/>
      <c r="O44" s="220"/>
      <c r="P44" s="220"/>
      <c r="Q44" s="220"/>
      <c r="R44" s="220"/>
      <c r="S44" s="155"/>
      <c r="T44" s="155">
        <f aca="true" t="shared" si="1" ref="T44:T54">+P44-R44</f>
        <v>0</v>
      </c>
      <c r="U44" s="155"/>
      <c r="V44" s="221">
        <f aca="true" t="shared" si="2" ref="V44:V54">IF(R44&lt;0,IF(T44=0,0,IF(OR(R44=0,P44=0),"N.M.",IF(ABS(T44/R44)&gt;=10,"N.M.",T44/(-R44)))),IF(T44=0,0,IF(OR(R44=0,P44=0),"N.M.",IF(ABS(T44/R44)&gt;=10,"N.M.",T44/R44))))</f>
        <v>0</v>
      </c>
      <c r="W44" s="222"/>
      <c r="X44" s="155">
        <v>164556.36</v>
      </c>
      <c r="Y44" s="222"/>
      <c r="Z44" s="155">
        <v>183438.3</v>
      </c>
      <c r="AA44" s="222"/>
      <c r="AB44" s="155">
        <f aca="true" t="shared" si="3" ref="AB44:AB54">(+X44-Z44)</f>
        <v>-18881.940000000002</v>
      </c>
      <c r="AC44" s="155"/>
      <c r="AD44" s="221">
        <f aca="true" t="shared" si="4" ref="AD44:AD54">IF(Z44&lt;0,IF(AB44=0,0,IF(OR(Z44=0,X44=0),"N.M.",IF(ABS(AB44/Z44)&gt;=10,"N.M.",AB44/(-Z44)))),IF(AB44=0,0,IF(OR(Z44=0,X44=0),"N.M.",IF(ABS(AB44/Z44)&gt;=10,"N.M.",AB44/Z44))))</f>
        <v>-0.10293346591197151</v>
      </c>
      <c r="AE44" s="155"/>
      <c r="AF44" s="155">
        <v>384140.07</v>
      </c>
      <c r="AG44" s="155"/>
      <c r="AH44" s="155">
        <v>371256.25</v>
      </c>
      <c r="AI44" s="155"/>
      <c r="AJ44" s="155">
        <f aca="true" t="shared" si="5" ref="AJ44:AJ54">(+AF44-AH44)</f>
        <v>12883.820000000007</v>
      </c>
      <c r="AK44" s="155"/>
      <c r="AL44" s="221">
        <f aca="true" t="shared" si="6" ref="AL44:AL54">IF(AH44&lt;0,IF(AJ44=0,0,IF(OR(AH44=0,AF44=0),"N.M.",IF(ABS(AJ44/AH44)&gt;=10,"N.M.",AJ44/(-AH44)))),IF(AJ44=0,0,IF(OR(AH44=0,AF44=0),"N.M.",IF(ABS(AJ44/AH44)&gt;=10,"N.M.",AJ44/AH44))))</f>
        <v>0.03470330802511744</v>
      </c>
      <c r="AM44" s="155"/>
      <c r="AN44" s="155">
        <v>384140.07</v>
      </c>
    </row>
    <row r="45" spans="1:40" ht="15">
      <c r="A45" s="185">
        <f>+A44+1</f>
        <v>22</v>
      </c>
      <c r="B45" s="303" t="s">
        <v>621</v>
      </c>
      <c r="C45" s="1106" t="s">
        <v>622</v>
      </c>
      <c r="D45" s="1107">
        <v>0</v>
      </c>
      <c r="E45" s="176">
        <f aca="true" t="shared" si="7" ref="E45:E59">+D45</f>
        <v>0</v>
      </c>
      <c r="F45" s="176">
        <v>0</v>
      </c>
      <c r="G45"/>
      <c r="M45" s="153"/>
      <c r="N45" s="219"/>
      <c r="O45" s="220"/>
      <c r="P45" s="220"/>
      <c r="Q45" s="220"/>
      <c r="R45" s="220"/>
      <c r="S45" s="155"/>
      <c r="T45" s="155">
        <f t="shared" si="1"/>
        <v>0</v>
      </c>
      <c r="U45" s="155"/>
      <c r="V45" s="221">
        <f t="shared" si="2"/>
        <v>0</v>
      </c>
      <c r="W45" s="222"/>
      <c r="X45" s="155">
        <v>1.52</v>
      </c>
      <c r="Y45" s="222"/>
      <c r="Z45" s="155">
        <v>0</v>
      </c>
      <c r="AA45" s="222"/>
      <c r="AB45" s="155">
        <f t="shared" si="3"/>
        <v>1.52</v>
      </c>
      <c r="AC45" s="155"/>
      <c r="AD45" s="221" t="str">
        <f t="shared" si="4"/>
        <v>N.M.</v>
      </c>
      <c r="AE45" s="155"/>
      <c r="AF45" s="155">
        <v>34.89</v>
      </c>
      <c r="AG45" s="155"/>
      <c r="AH45" s="155">
        <v>5.66</v>
      </c>
      <c r="AI45" s="155"/>
      <c r="AJ45" s="155">
        <f t="shared" si="5"/>
        <v>29.23</v>
      </c>
      <c r="AK45" s="155"/>
      <c r="AL45" s="221">
        <f t="shared" si="6"/>
        <v>5.1643109540636045</v>
      </c>
      <c r="AM45" s="155"/>
      <c r="AN45" s="155">
        <v>34.89</v>
      </c>
    </row>
    <row r="46" spans="1:40" ht="15">
      <c r="A46" s="185">
        <f aca="true" t="shared" si="8" ref="A46:A59">+A45+1</f>
        <v>23</v>
      </c>
      <c r="B46" s="303" t="s">
        <v>752</v>
      </c>
      <c r="C46" s="1106" t="s">
        <v>753</v>
      </c>
      <c r="D46" s="1107">
        <v>0</v>
      </c>
      <c r="E46" s="176">
        <f t="shared" si="7"/>
        <v>0</v>
      </c>
      <c r="F46" s="176">
        <v>0</v>
      </c>
      <c r="G46"/>
      <c r="M46" s="153"/>
      <c r="N46" s="219"/>
      <c r="O46" s="220"/>
      <c r="P46" s="220"/>
      <c r="Q46" s="220"/>
      <c r="R46" s="220"/>
      <c r="S46" s="155"/>
      <c r="T46" s="155">
        <f t="shared" si="1"/>
        <v>0</v>
      </c>
      <c r="U46" s="155"/>
      <c r="V46" s="221">
        <f t="shared" si="2"/>
        <v>0</v>
      </c>
      <c r="W46" s="222"/>
      <c r="X46" s="155">
        <v>0</v>
      </c>
      <c r="Y46" s="222"/>
      <c r="Z46" s="155">
        <v>28.51</v>
      </c>
      <c r="AA46" s="222"/>
      <c r="AB46" s="155">
        <f t="shared" si="3"/>
        <v>-28.51</v>
      </c>
      <c r="AC46" s="155"/>
      <c r="AD46" s="221" t="str">
        <f t="shared" si="4"/>
        <v>N.M.</v>
      </c>
      <c r="AE46" s="155"/>
      <c r="AF46" s="155">
        <v>341.19</v>
      </c>
      <c r="AG46" s="155"/>
      <c r="AH46" s="155">
        <v>314.56</v>
      </c>
      <c r="AI46" s="155"/>
      <c r="AJ46" s="155">
        <f t="shared" si="5"/>
        <v>26.629999999999995</v>
      </c>
      <c r="AK46" s="155"/>
      <c r="AL46" s="221">
        <f t="shared" si="6"/>
        <v>0.08465793489318411</v>
      </c>
      <c r="AM46" s="155"/>
      <c r="AN46" s="155">
        <v>341.19</v>
      </c>
    </row>
    <row r="47" spans="1:40" ht="15">
      <c r="A47" s="185">
        <f t="shared" si="8"/>
        <v>24</v>
      </c>
      <c r="B47" s="303" t="s">
        <v>754</v>
      </c>
      <c r="C47" s="1106" t="s">
        <v>755</v>
      </c>
      <c r="D47" s="1107">
        <v>0</v>
      </c>
      <c r="E47" s="176">
        <f t="shared" si="7"/>
        <v>0</v>
      </c>
      <c r="F47" s="176">
        <v>0</v>
      </c>
      <c r="G47"/>
      <c r="M47" s="153"/>
      <c r="N47" s="219"/>
      <c r="O47" s="220"/>
      <c r="P47" s="220"/>
      <c r="Q47" s="220"/>
      <c r="R47" s="220"/>
      <c r="S47" s="155"/>
      <c r="T47" s="155">
        <f t="shared" si="1"/>
        <v>0</v>
      </c>
      <c r="U47" s="155"/>
      <c r="V47" s="221">
        <f t="shared" si="2"/>
        <v>0</v>
      </c>
      <c r="W47" s="222"/>
      <c r="X47" s="155">
        <v>669.88</v>
      </c>
      <c r="Y47" s="222"/>
      <c r="Z47" s="155">
        <v>0</v>
      </c>
      <c r="AA47" s="222"/>
      <c r="AB47" s="155">
        <f t="shared" si="3"/>
        <v>669.88</v>
      </c>
      <c r="AC47" s="155"/>
      <c r="AD47" s="221" t="str">
        <f t="shared" si="4"/>
        <v>N.M.</v>
      </c>
      <c r="AE47" s="155"/>
      <c r="AF47" s="155">
        <v>1102.61</v>
      </c>
      <c r="AG47" s="155"/>
      <c r="AH47" s="155">
        <v>507.12</v>
      </c>
      <c r="AI47" s="155"/>
      <c r="AJ47" s="155">
        <f t="shared" si="5"/>
        <v>595.4899999999999</v>
      </c>
      <c r="AK47" s="155"/>
      <c r="AL47" s="221">
        <f t="shared" si="6"/>
        <v>1.1742585581321974</v>
      </c>
      <c r="AM47" s="155"/>
      <c r="AN47" s="155">
        <v>1102.61</v>
      </c>
    </row>
    <row r="48" spans="1:40" ht="15">
      <c r="A48" s="185">
        <f t="shared" si="8"/>
        <v>25</v>
      </c>
      <c r="B48" s="304" t="s">
        <v>511</v>
      </c>
      <c r="C48" s="1106" t="s">
        <v>512</v>
      </c>
      <c r="D48" s="1107">
        <v>0</v>
      </c>
      <c r="E48" s="176">
        <f t="shared" si="7"/>
        <v>0</v>
      </c>
      <c r="F48" s="176">
        <v>0</v>
      </c>
      <c r="G48"/>
      <c r="M48" s="153"/>
      <c r="N48" s="219"/>
      <c r="O48" s="220"/>
      <c r="P48" s="220"/>
      <c r="Q48" s="220"/>
      <c r="R48" s="220"/>
      <c r="S48" s="155"/>
      <c r="T48" s="155"/>
      <c r="U48" s="155"/>
      <c r="V48" s="221"/>
      <c r="W48" s="222"/>
      <c r="X48" s="155"/>
      <c r="Y48" s="222"/>
      <c r="Z48" s="155"/>
      <c r="AA48" s="222"/>
      <c r="AB48" s="155"/>
      <c r="AC48" s="155"/>
      <c r="AD48" s="221"/>
      <c r="AE48" s="155"/>
      <c r="AF48" s="155"/>
      <c r="AG48" s="155"/>
      <c r="AH48" s="155"/>
      <c r="AI48" s="155"/>
      <c r="AJ48" s="155"/>
      <c r="AK48" s="155"/>
      <c r="AL48" s="221"/>
      <c r="AM48" s="155"/>
      <c r="AN48" s="155"/>
    </row>
    <row r="49" spans="1:40" ht="15">
      <c r="A49" s="185">
        <f t="shared" si="8"/>
        <v>26</v>
      </c>
      <c r="B49" s="303" t="s">
        <v>756</v>
      </c>
      <c r="C49" s="1106" t="s">
        <v>757</v>
      </c>
      <c r="D49" s="1107">
        <v>0</v>
      </c>
      <c r="E49" s="176">
        <f t="shared" si="7"/>
        <v>0</v>
      </c>
      <c r="F49" s="176">
        <v>0</v>
      </c>
      <c r="G49"/>
      <c r="M49" s="153"/>
      <c r="N49" s="219"/>
      <c r="O49" s="220"/>
      <c r="P49" s="220"/>
      <c r="Q49" s="220"/>
      <c r="R49" s="220"/>
      <c r="S49" s="155"/>
      <c r="T49" s="155">
        <f t="shared" si="1"/>
        <v>0</v>
      </c>
      <c r="U49" s="155"/>
      <c r="V49" s="221">
        <f t="shared" si="2"/>
        <v>0</v>
      </c>
      <c r="W49" s="222"/>
      <c r="X49" s="155">
        <v>770.59</v>
      </c>
      <c r="Y49" s="222"/>
      <c r="Z49" s="155">
        <v>831.165</v>
      </c>
      <c r="AA49" s="222"/>
      <c r="AB49" s="155">
        <f t="shared" si="3"/>
        <v>-60.57499999999993</v>
      </c>
      <c r="AC49" s="155"/>
      <c r="AD49" s="221">
        <f t="shared" si="4"/>
        <v>-0.07287963280455738</v>
      </c>
      <c r="AE49" s="155"/>
      <c r="AF49" s="155">
        <v>1852.4</v>
      </c>
      <c r="AG49" s="155"/>
      <c r="AH49" s="155">
        <v>2020.914</v>
      </c>
      <c r="AI49" s="155"/>
      <c r="AJ49" s="155">
        <f t="shared" si="5"/>
        <v>-168.5139999999999</v>
      </c>
      <c r="AK49" s="155"/>
      <c r="AL49" s="221">
        <f t="shared" si="6"/>
        <v>-0.08338504260943311</v>
      </c>
      <c r="AM49" s="155"/>
      <c r="AN49" s="155">
        <v>1852.4</v>
      </c>
    </row>
    <row r="50" spans="1:40" ht="15">
      <c r="A50" s="185">
        <f t="shared" si="8"/>
        <v>27</v>
      </c>
      <c r="B50" s="303" t="s">
        <v>623</v>
      </c>
      <c r="C50" s="1106" t="s">
        <v>624</v>
      </c>
      <c r="D50" s="1107">
        <v>0</v>
      </c>
      <c r="E50" s="176">
        <f t="shared" si="7"/>
        <v>0</v>
      </c>
      <c r="F50" s="176">
        <v>0</v>
      </c>
      <c r="G50"/>
      <c r="M50" s="153"/>
      <c r="N50" s="219"/>
      <c r="O50" s="220"/>
      <c r="P50" s="220"/>
      <c r="Q50" s="220"/>
      <c r="R50" s="220"/>
      <c r="S50" s="155"/>
      <c r="T50" s="155">
        <f t="shared" si="1"/>
        <v>0</v>
      </c>
      <c r="U50" s="155"/>
      <c r="V50" s="221">
        <f t="shared" si="2"/>
        <v>0</v>
      </c>
      <c r="W50" s="222"/>
      <c r="X50" s="155">
        <v>3.37</v>
      </c>
      <c r="Y50" s="222"/>
      <c r="Z50" s="155">
        <v>0</v>
      </c>
      <c r="AA50" s="222"/>
      <c r="AB50" s="155">
        <f t="shared" si="3"/>
        <v>3.37</v>
      </c>
      <c r="AC50" s="155"/>
      <c r="AD50" s="221" t="str">
        <f t="shared" si="4"/>
        <v>N.M.</v>
      </c>
      <c r="AE50" s="155"/>
      <c r="AF50" s="155">
        <v>5.54</v>
      </c>
      <c r="AG50" s="155"/>
      <c r="AH50" s="155">
        <v>106.3</v>
      </c>
      <c r="AI50" s="155"/>
      <c r="AJ50" s="155">
        <f t="shared" si="5"/>
        <v>-100.75999999999999</v>
      </c>
      <c r="AK50" s="155"/>
      <c r="AL50" s="221">
        <f t="shared" si="6"/>
        <v>-0.9478833490122295</v>
      </c>
      <c r="AM50" s="155"/>
      <c r="AN50" s="155">
        <v>5.54</v>
      </c>
    </row>
    <row r="51" spans="1:40" ht="15">
      <c r="A51" s="185">
        <f t="shared" si="8"/>
        <v>28</v>
      </c>
      <c r="B51" s="303" t="s">
        <v>758</v>
      </c>
      <c r="C51" s="1106" t="s">
        <v>759</v>
      </c>
      <c r="D51" s="1107">
        <v>0</v>
      </c>
      <c r="E51" s="176">
        <f t="shared" si="7"/>
        <v>0</v>
      </c>
      <c r="F51" s="176">
        <v>0</v>
      </c>
      <c r="G51"/>
      <c r="M51" s="153"/>
      <c r="N51" s="219"/>
      <c r="O51" s="220"/>
      <c r="P51" s="220"/>
      <c r="Q51" s="220"/>
      <c r="R51" s="220"/>
      <c r="S51" s="155"/>
      <c r="T51" s="155">
        <f t="shared" si="1"/>
        <v>0</v>
      </c>
      <c r="U51" s="155"/>
      <c r="V51" s="221">
        <f t="shared" si="2"/>
        <v>0</v>
      </c>
      <c r="W51" s="222"/>
      <c r="X51" s="155">
        <v>1007.46</v>
      </c>
      <c r="Y51" s="222"/>
      <c r="Z51" s="155">
        <v>0</v>
      </c>
      <c r="AA51" s="222"/>
      <c r="AB51" s="155">
        <f t="shared" si="3"/>
        <v>1007.46</v>
      </c>
      <c r="AC51" s="155"/>
      <c r="AD51" s="221" t="str">
        <f t="shared" si="4"/>
        <v>N.M.</v>
      </c>
      <c r="AE51" s="155"/>
      <c r="AF51" s="155">
        <v>1007.46</v>
      </c>
      <c r="AG51" s="155"/>
      <c r="AH51" s="155">
        <v>0</v>
      </c>
      <c r="AI51" s="155"/>
      <c r="AJ51" s="155">
        <f t="shared" si="5"/>
        <v>1007.46</v>
      </c>
      <c r="AK51" s="155"/>
      <c r="AL51" s="221" t="str">
        <f t="shared" si="6"/>
        <v>N.M.</v>
      </c>
      <c r="AM51" s="155"/>
      <c r="AN51" s="155">
        <v>1007.46</v>
      </c>
    </row>
    <row r="52" spans="1:40" ht="15">
      <c r="A52" s="185">
        <f t="shared" si="8"/>
        <v>29</v>
      </c>
      <c r="B52" s="303" t="s">
        <v>625</v>
      </c>
      <c r="C52" s="1106" t="s">
        <v>626</v>
      </c>
      <c r="D52" s="1107">
        <v>0</v>
      </c>
      <c r="E52" s="176">
        <f t="shared" si="7"/>
        <v>0</v>
      </c>
      <c r="F52" s="176">
        <v>0</v>
      </c>
      <c r="G52"/>
      <c r="M52" s="153"/>
      <c r="N52" s="219"/>
      <c r="O52" s="220"/>
      <c r="P52" s="220"/>
      <c r="Q52" s="220"/>
      <c r="R52" s="220"/>
      <c r="S52" s="155"/>
      <c r="T52" s="155">
        <f t="shared" si="1"/>
        <v>0</v>
      </c>
      <c r="U52" s="155"/>
      <c r="V52" s="221">
        <f t="shared" si="2"/>
        <v>0</v>
      </c>
      <c r="W52" s="222"/>
      <c r="X52" s="155">
        <v>9024.171</v>
      </c>
      <c r="Y52" s="222"/>
      <c r="Z52" s="155">
        <v>0</v>
      </c>
      <c r="AA52" s="222"/>
      <c r="AB52" s="155">
        <f t="shared" si="3"/>
        <v>9024.171</v>
      </c>
      <c r="AC52" s="155"/>
      <c r="AD52" s="221" t="str">
        <f t="shared" si="4"/>
        <v>N.M.</v>
      </c>
      <c r="AE52" s="155"/>
      <c r="AF52" s="155">
        <v>78069.979</v>
      </c>
      <c r="AG52" s="155"/>
      <c r="AH52" s="155">
        <v>72939.027</v>
      </c>
      <c r="AI52" s="155"/>
      <c r="AJ52" s="155">
        <f t="shared" si="5"/>
        <v>5130.952000000005</v>
      </c>
      <c r="AK52" s="155"/>
      <c r="AL52" s="221">
        <f t="shared" si="6"/>
        <v>0.07034576976191367</v>
      </c>
      <c r="AM52" s="155"/>
      <c r="AN52" s="155">
        <v>78069.979</v>
      </c>
    </row>
    <row r="53" spans="1:40" ht="15">
      <c r="A53" s="185">
        <f t="shared" si="8"/>
        <v>30</v>
      </c>
      <c r="B53" s="303" t="s">
        <v>627</v>
      </c>
      <c r="C53" s="1106" t="s">
        <v>628</v>
      </c>
      <c r="D53" s="1107">
        <v>0</v>
      </c>
      <c r="E53" s="176">
        <f t="shared" si="7"/>
        <v>0</v>
      </c>
      <c r="F53" s="176">
        <v>0</v>
      </c>
      <c r="G53"/>
      <c r="M53" s="153"/>
      <c r="N53" s="219"/>
      <c r="O53" s="220"/>
      <c r="P53" s="220"/>
      <c r="Q53" s="220"/>
      <c r="R53" s="220"/>
      <c r="S53" s="155"/>
      <c r="T53" s="155">
        <f t="shared" si="1"/>
        <v>0</v>
      </c>
      <c r="U53" s="155"/>
      <c r="V53" s="221">
        <f t="shared" si="2"/>
        <v>0</v>
      </c>
      <c r="W53" s="222"/>
      <c r="X53" s="155">
        <v>224.86</v>
      </c>
      <c r="Y53" s="222"/>
      <c r="Z53" s="155">
        <v>147.94</v>
      </c>
      <c r="AA53" s="222"/>
      <c r="AB53" s="155">
        <f t="shared" si="3"/>
        <v>76.92000000000002</v>
      </c>
      <c r="AC53" s="155"/>
      <c r="AD53" s="221">
        <f t="shared" si="4"/>
        <v>0.519940516425578</v>
      </c>
      <c r="AE53" s="155"/>
      <c r="AF53" s="155">
        <v>681.06</v>
      </c>
      <c r="AG53" s="155"/>
      <c r="AH53" s="155">
        <v>616.3</v>
      </c>
      <c r="AI53" s="155"/>
      <c r="AJ53" s="155">
        <f t="shared" si="5"/>
        <v>64.75999999999999</v>
      </c>
      <c r="AK53" s="155"/>
      <c r="AL53" s="221">
        <f t="shared" si="6"/>
        <v>0.10507869544053221</v>
      </c>
      <c r="AM53" s="155"/>
      <c r="AN53" s="155">
        <v>681.06</v>
      </c>
    </row>
    <row r="54" spans="1:40" ht="15">
      <c r="A54" s="185">
        <f t="shared" si="8"/>
        <v>31</v>
      </c>
      <c r="B54" s="303" t="s">
        <v>629</v>
      </c>
      <c r="C54" s="1106" t="s">
        <v>630</v>
      </c>
      <c r="D54" s="1107">
        <v>0</v>
      </c>
      <c r="E54" s="176">
        <f t="shared" si="7"/>
        <v>0</v>
      </c>
      <c r="F54" s="182">
        <v>0</v>
      </c>
      <c r="G54"/>
      <c r="M54" s="153"/>
      <c r="N54" s="219"/>
      <c r="O54" s="220"/>
      <c r="P54" s="220"/>
      <c r="Q54" s="220"/>
      <c r="R54" s="220"/>
      <c r="S54" s="155"/>
      <c r="T54" s="155">
        <f t="shared" si="1"/>
        <v>0</v>
      </c>
      <c r="U54" s="155"/>
      <c r="V54" s="221">
        <f t="shared" si="2"/>
        <v>0</v>
      </c>
      <c r="W54" s="222"/>
      <c r="X54" s="155">
        <v>133376.414</v>
      </c>
      <c r="Y54" s="222"/>
      <c r="Z54" s="155">
        <v>181697.83</v>
      </c>
      <c r="AA54" s="222"/>
      <c r="AB54" s="155">
        <f t="shared" si="3"/>
        <v>-48321.416</v>
      </c>
      <c r="AC54" s="155"/>
      <c r="AD54" s="221">
        <f t="shared" si="4"/>
        <v>-0.26594382552614965</v>
      </c>
      <c r="AE54" s="155"/>
      <c r="AF54" s="155">
        <v>322928.284</v>
      </c>
      <c r="AG54" s="155"/>
      <c r="AH54" s="155">
        <v>370390.32</v>
      </c>
      <c r="AI54" s="155"/>
      <c r="AJ54" s="155">
        <f t="shared" si="5"/>
        <v>-47462.03600000002</v>
      </c>
      <c r="AK54" s="155"/>
      <c r="AL54" s="221">
        <f t="shared" si="6"/>
        <v>-0.1281405950349891</v>
      </c>
      <c r="AM54" s="155"/>
      <c r="AN54" s="155">
        <v>322928.284</v>
      </c>
    </row>
    <row r="55" spans="1:7" ht="15">
      <c r="A55" s="185">
        <f t="shared" si="8"/>
        <v>32</v>
      </c>
      <c r="B55" s="303" t="s">
        <v>637</v>
      </c>
      <c r="C55" s="1106" t="s">
        <v>638</v>
      </c>
      <c r="D55" s="1107">
        <v>0</v>
      </c>
      <c r="E55" s="176">
        <f t="shared" si="7"/>
        <v>0</v>
      </c>
      <c r="F55" s="182">
        <v>0</v>
      </c>
      <c r="G55"/>
    </row>
    <row r="56" spans="1:7" ht="15">
      <c r="A56" s="185">
        <f t="shared" si="8"/>
        <v>33</v>
      </c>
      <c r="B56" s="303" t="s">
        <v>663</v>
      </c>
      <c r="C56" s="1106" t="s">
        <v>664</v>
      </c>
      <c r="D56" s="1107">
        <v>0</v>
      </c>
      <c r="E56" s="176">
        <f t="shared" si="7"/>
        <v>0</v>
      </c>
      <c r="F56" s="182">
        <v>0</v>
      </c>
      <c r="G56" s="178"/>
    </row>
    <row r="57" spans="1:7" ht="15">
      <c r="A57" s="185">
        <f t="shared" si="8"/>
        <v>34</v>
      </c>
      <c r="B57" s="303" t="s">
        <v>639</v>
      </c>
      <c r="C57" s="1106" t="s">
        <v>640</v>
      </c>
      <c r="D57" s="1107">
        <v>0</v>
      </c>
      <c r="E57" s="176">
        <f t="shared" si="7"/>
        <v>0</v>
      </c>
      <c r="F57" s="182">
        <v>0</v>
      </c>
      <c r="G57" s="178"/>
    </row>
    <row r="58" spans="1:7" ht="15">
      <c r="A58" s="185">
        <f t="shared" si="8"/>
        <v>35</v>
      </c>
      <c r="B58" s="303" t="s">
        <v>631</v>
      </c>
      <c r="C58" s="1106" t="s">
        <v>632</v>
      </c>
      <c r="D58" s="1107">
        <v>0</v>
      </c>
      <c r="E58" s="176">
        <f t="shared" si="7"/>
        <v>0</v>
      </c>
      <c r="F58" s="182">
        <v>0</v>
      </c>
      <c r="G58" s="178"/>
    </row>
    <row r="59" spans="1:7" ht="15">
      <c r="A59" s="185">
        <f t="shared" si="8"/>
        <v>36</v>
      </c>
      <c r="B59" s="303" t="s">
        <v>633</v>
      </c>
      <c r="C59" s="1106" t="s">
        <v>634</v>
      </c>
      <c r="D59" s="1107">
        <v>0</v>
      </c>
      <c r="E59" s="176">
        <f t="shared" si="7"/>
        <v>0</v>
      </c>
      <c r="F59" s="182">
        <v>0</v>
      </c>
      <c r="G59" s="178"/>
    </row>
    <row r="60" spans="1:7" ht="15">
      <c r="A60" s="185"/>
      <c r="B60" s="177"/>
      <c r="C60" s="178"/>
      <c r="D60" s="187"/>
      <c r="E60" s="188"/>
      <c r="F60" s="187"/>
      <c r="G60" s="178"/>
    </row>
    <row r="61" spans="1:7" ht="15">
      <c r="A61" s="185">
        <f>+A59+1</f>
        <v>37</v>
      </c>
      <c r="B61" s="183"/>
      <c r="C61" s="689" t="str">
        <f>C41</f>
        <v>Total</v>
      </c>
      <c r="D61" s="189">
        <f>SUM(D44:D60)</f>
        <v>0</v>
      </c>
      <c r="E61" s="189">
        <f>SUM(E44:E60)</f>
        <v>0</v>
      </c>
      <c r="F61" s="189">
        <f>SUM(F44:F55)</f>
        <v>0</v>
      </c>
      <c r="G61" s="154"/>
    </row>
    <row r="62" spans="1:7" ht="12.75" customHeight="1">
      <c r="A62" s="185"/>
      <c r="B62" s="170"/>
      <c r="C62" s="170"/>
      <c r="D62" s="170"/>
      <c r="E62" s="170"/>
      <c r="F62" s="170"/>
      <c r="G62" s="170"/>
    </row>
    <row r="63" spans="1:7" ht="15">
      <c r="A63" s="185"/>
      <c r="B63" s="168"/>
      <c r="C63" s="305" t="s">
        <v>685</v>
      </c>
      <c r="D63" s="190"/>
      <c r="E63" s="190"/>
      <c r="F63" s="190"/>
      <c r="G63" s="168"/>
    </row>
    <row r="64" spans="1:11" ht="15">
      <c r="A64" s="185">
        <f>+A61+1</f>
        <v>38</v>
      </c>
      <c r="B64" s="303" t="s">
        <v>670</v>
      </c>
      <c r="C64" s="1106" t="s">
        <v>671</v>
      </c>
      <c r="D64" s="1107">
        <v>0</v>
      </c>
      <c r="E64" s="175"/>
      <c r="F64" s="175"/>
      <c r="G64" s="153"/>
      <c r="H64" s="219"/>
      <c r="J64" s="155"/>
      <c r="K64" s="155"/>
    </row>
    <row r="65" spans="1:11" ht="15">
      <c r="A65" s="185">
        <f>+A64+1</f>
        <v>39</v>
      </c>
      <c r="B65" s="303" t="s">
        <v>672</v>
      </c>
      <c r="C65" s="1106" t="s">
        <v>673</v>
      </c>
      <c r="D65" s="1107">
        <v>0</v>
      </c>
      <c r="E65" s="175"/>
      <c r="F65" s="175"/>
      <c r="G65" s="153"/>
      <c r="H65" s="219"/>
      <c r="J65" s="155"/>
      <c r="K65" s="155"/>
    </row>
    <row r="66" spans="1:11" ht="15">
      <c r="A66" s="185">
        <f>+A65+1</f>
        <v>40</v>
      </c>
      <c r="B66" s="303" t="s">
        <v>674</v>
      </c>
      <c r="C66" s="1106" t="s">
        <v>675</v>
      </c>
      <c r="D66" s="1107">
        <v>0</v>
      </c>
      <c r="E66" s="175"/>
      <c r="F66" s="175"/>
      <c r="G66" s="153"/>
      <c r="H66" s="219"/>
      <c r="J66" s="155"/>
      <c r="K66" s="155"/>
    </row>
    <row r="67" spans="1:7" ht="15">
      <c r="A67" s="185">
        <f>+A66+1</f>
        <v>41</v>
      </c>
      <c r="B67" s="303" t="s">
        <v>676</v>
      </c>
      <c r="C67" s="1106" t="s">
        <v>361</v>
      </c>
      <c r="D67" s="1107">
        <v>0</v>
      </c>
      <c r="E67" s="175"/>
      <c r="F67" s="175"/>
      <c r="G67" s="170"/>
    </row>
    <row r="68" spans="1:7" ht="15">
      <c r="A68" s="185"/>
      <c r="B68" s="170"/>
      <c r="C68" s="170"/>
      <c r="D68" s="170"/>
      <c r="E68" s="170"/>
      <c r="F68" s="170"/>
      <c r="G68" s="170"/>
    </row>
    <row r="69" spans="1:7" ht="15">
      <c r="A69" s="185">
        <f>+A67+1</f>
        <v>42</v>
      </c>
      <c r="B69" s="170"/>
      <c r="C69" s="689" t="s">
        <v>559</v>
      </c>
      <c r="D69" s="189">
        <f>SUM(D64:D68)</f>
        <v>0</v>
      </c>
      <c r="E69" s="189">
        <f>SUM(E64:E68)</f>
        <v>0</v>
      </c>
      <c r="F69" s="189">
        <f>SUM(F64:F68)</f>
        <v>0</v>
      </c>
      <c r="G69" s="154"/>
    </row>
    <row r="70" spans="1:7" ht="15">
      <c r="A70" s="185"/>
      <c r="B70" s="255"/>
      <c r="C70" s="146"/>
      <c r="D70" s="146"/>
      <c r="E70" s="146"/>
      <c r="F70" s="146"/>
      <c r="G70" s="146"/>
    </row>
    <row r="71" spans="1:6" ht="12.75">
      <c r="A71" s="707"/>
      <c r="B71"/>
      <c r="C71"/>
      <c r="D71"/>
      <c r="E71"/>
      <c r="F71"/>
    </row>
    <row r="72" spans="1:6" ht="12.75">
      <c r="A72" s="707"/>
      <c r="B72"/>
      <c r="C72"/>
      <c r="D72"/>
      <c r="E72"/>
      <c r="F72"/>
    </row>
  </sheetData>
  <sheetProtection/>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4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242"/>
  <sheetViews>
    <sheetView zoomScalePageLayoutView="0" workbookViewId="0" topLeftCell="A1">
      <selection activeCell="E22" sqref="E22"/>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207" t="str">
        <f>'Historic TCOS'!$F$3</f>
        <v>AEPTCo subsidiaries in PJM</v>
      </c>
      <c r="B1" s="1207" t="str">
        <f>'Historic TCOS'!$F$3</f>
        <v>AEPTCo subsidiaries in PJM</v>
      </c>
      <c r="C1" s="1207" t="str">
        <f>'Historic TCOS'!$F$3</f>
        <v>AEPTCo subsidiaries in PJM</v>
      </c>
      <c r="D1" s="1207" t="str">
        <f>'Historic TCOS'!$F$3</f>
        <v>AEPTCo subsidiaries in PJM</v>
      </c>
      <c r="E1" s="1207" t="str">
        <f>'Historic TCOS'!$F$3</f>
        <v>AEPTCo subsidiaries in PJM</v>
      </c>
      <c r="F1" s="1207" t="str">
        <f>'Historic TCOS'!$F$3</f>
        <v>AEPTCo subsidiaries in PJM</v>
      </c>
      <c r="G1" s="1207" t="str">
        <f>'Historic TCOS'!$F$3</f>
        <v>AEPTCo subsidiaries in PJM</v>
      </c>
      <c r="H1" s="1207" t="str">
        <f>'Historic TCOS'!$F$3</f>
        <v>AEPTCo subsidiaries in PJM</v>
      </c>
    </row>
    <row r="2" spans="1:8" ht="15">
      <c r="A2" s="1206" t="str">
        <f>"Cost of Service Formula Rate Using "&amp;'Historic TCOS'!O1&amp;" FF1 Balances"</f>
        <v>Cost of Service Formula Rate Using 2014 FF1 Balances</v>
      </c>
      <c r="B2" s="1206"/>
      <c r="C2" s="1206"/>
      <c r="D2" s="1206"/>
      <c r="E2" s="1206"/>
      <c r="F2" s="1206"/>
      <c r="G2" s="1206"/>
      <c r="H2" s="1206"/>
    </row>
    <row r="3" spans="1:8" ht="15">
      <c r="A3" s="1206" t="s">
        <v>373</v>
      </c>
      <c r="B3" s="1206"/>
      <c r="C3" s="1206"/>
      <c r="D3" s="1206"/>
      <c r="E3" s="1206"/>
      <c r="F3" s="1206"/>
      <c r="G3" s="1206"/>
      <c r="H3" s="1206"/>
    </row>
    <row r="4" spans="1:7" ht="15">
      <c r="A4" s="1210" t="str">
        <f>+'WS A  - RB Support '!A4:F4</f>
        <v>AEP KENTUCKY TRANSMISSION COMPANY</v>
      </c>
      <c r="B4" s="1210"/>
      <c r="C4" s="1210"/>
      <c r="D4" s="1210"/>
      <c r="E4" s="1210"/>
      <c r="F4" s="1210"/>
      <c r="G4" s="1210"/>
    </row>
    <row r="5" spans="1:15" ht="12.75" customHeight="1">
      <c r="A5" s="137"/>
      <c r="B5" s="149"/>
      <c r="C5" s="149"/>
      <c r="D5" s="149"/>
      <c r="E5" s="149"/>
      <c r="F5" s="149"/>
      <c r="G5" s="149"/>
      <c r="H5" s="149"/>
      <c r="I5" s="149"/>
      <c r="J5" s="149"/>
      <c r="O5" s="133"/>
    </row>
    <row r="6" spans="1:6" ht="12.75" customHeight="1">
      <c r="A6" s="137"/>
      <c r="B6" s="171"/>
      <c r="C6" s="7"/>
      <c r="D6" s="7"/>
      <c r="E6" s="7"/>
      <c r="F6" s="7"/>
    </row>
    <row r="7" spans="1:12" ht="15">
      <c r="A7" s="964">
        <v>1</v>
      </c>
      <c r="B7" s="135" t="s">
        <v>966</v>
      </c>
      <c r="C7" s="169"/>
      <c r="D7" s="172"/>
      <c r="E7" s="1148">
        <v>0.06</v>
      </c>
      <c r="F7" s="7"/>
      <c r="G7" s="148"/>
      <c r="H7" s="148"/>
      <c r="L7" s="147"/>
    </row>
    <row r="8" spans="1:12" ht="15">
      <c r="A8" s="147"/>
      <c r="B8" s="135" t="s">
        <v>314</v>
      </c>
      <c r="C8" s="169"/>
      <c r="D8" s="169"/>
      <c r="E8" s="1149">
        <v>0.9996</v>
      </c>
      <c r="F8" s="7"/>
      <c r="G8" s="148"/>
      <c r="H8" s="148"/>
      <c r="L8" s="147"/>
    </row>
    <row r="9" spans="1:12" ht="15">
      <c r="A9" s="147"/>
      <c r="B9" s="135" t="s">
        <v>138</v>
      </c>
      <c r="C9" s="169"/>
      <c r="D9" s="169"/>
      <c r="E9" s="139"/>
      <c r="F9" s="173">
        <f>ROUND(E7*E8,4)</f>
        <v>0.06</v>
      </c>
      <c r="G9" s="148"/>
      <c r="L9" s="147"/>
    </row>
    <row r="10" spans="1:12" ht="15">
      <c r="A10" s="147"/>
      <c r="B10" s="135"/>
      <c r="C10" s="169"/>
      <c r="D10" s="169"/>
      <c r="E10" s="139"/>
      <c r="F10" s="173"/>
      <c r="G10" s="148"/>
      <c r="L10" s="147"/>
    </row>
    <row r="11" spans="1:12" ht="15">
      <c r="A11" s="147">
        <f>A7+1</f>
        <v>2</v>
      </c>
      <c r="B11" s="135" t="s">
        <v>933</v>
      </c>
      <c r="C11" s="169"/>
      <c r="D11" s="172"/>
      <c r="E11" s="1148">
        <v>0</v>
      </c>
      <c r="F11" s="7"/>
      <c r="G11" s="148"/>
      <c r="L11" s="147"/>
    </row>
    <row r="12" spans="1:12" ht="15">
      <c r="A12" s="147"/>
      <c r="B12" s="135" t="s">
        <v>314</v>
      </c>
      <c r="C12" s="169"/>
      <c r="D12" s="169"/>
      <c r="E12" s="1149">
        <v>0</v>
      </c>
      <c r="F12" s="7"/>
      <c r="G12" s="148"/>
      <c r="L12" s="147"/>
    </row>
    <row r="13" spans="1:12" ht="15">
      <c r="A13" s="147"/>
      <c r="B13" s="135" t="s">
        <v>138</v>
      </c>
      <c r="C13" s="169"/>
      <c r="D13" s="169"/>
      <c r="E13" s="139"/>
      <c r="F13" s="173">
        <f>ROUND(E11*E12,4)</f>
        <v>0</v>
      </c>
      <c r="G13" s="148"/>
      <c r="L13" s="147"/>
    </row>
    <row r="14" spans="1:12" ht="15">
      <c r="A14" s="147"/>
      <c r="B14" s="135"/>
      <c r="C14" s="169"/>
      <c r="D14" s="169"/>
      <c r="E14" s="139"/>
      <c r="F14" s="173"/>
      <c r="G14" s="148"/>
      <c r="L14" s="147"/>
    </row>
    <row r="15" spans="1:12" ht="15">
      <c r="A15" s="147">
        <f>A11+1</f>
        <v>3</v>
      </c>
      <c r="B15" s="135" t="s">
        <v>933</v>
      </c>
      <c r="C15" s="169"/>
      <c r="D15" s="172"/>
      <c r="E15" s="1148">
        <v>0</v>
      </c>
      <c r="F15" s="7"/>
      <c r="G15" s="148"/>
      <c r="L15" s="147"/>
    </row>
    <row r="16" spans="1:12" ht="15">
      <c r="A16" s="147"/>
      <c r="B16" s="135" t="s">
        <v>314</v>
      </c>
      <c r="C16" s="169"/>
      <c r="D16" s="169"/>
      <c r="E16" s="1149">
        <v>0</v>
      </c>
      <c r="F16" s="7"/>
      <c r="G16" s="148"/>
      <c r="L16" s="147"/>
    </row>
    <row r="17" spans="1:12" ht="15">
      <c r="A17" s="147"/>
      <c r="B17" s="135" t="s">
        <v>138</v>
      </c>
      <c r="C17" s="169"/>
      <c r="D17" s="169"/>
      <c r="E17" s="139"/>
      <c r="F17" s="173">
        <f>ROUND(E15*E16,4)</f>
        <v>0</v>
      </c>
      <c r="G17" s="148"/>
      <c r="L17" s="147"/>
    </row>
    <row r="18" spans="1:12" ht="15">
      <c r="A18" s="147"/>
      <c r="B18" s="135"/>
      <c r="C18" s="169"/>
      <c r="D18" s="169"/>
      <c r="E18" s="139"/>
      <c r="F18" s="173"/>
      <c r="G18" s="148"/>
      <c r="L18" s="147"/>
    </row>
    <row r="19" spans="1:12" ht="15">
      <c r="A19" s="147">
        <f>A15+1</f>
        <v>4</v>
      </c>
      <c r="B19" s="135" t="s">
        <v>933</v>
      </c>
      <c r="C19" s="169"/>
      <c r="D19" s="172"/>
      <c r="E19" s="1148">
        <v>0</v>
      </c>
      <c r="F19" s="7"/>
      <c r="G19" s="148"/>
      <c r="L19" s="147"/>
    </row>
    <row r="20" spans="1:12" ht="15">
      <c r="A20" s="147"/>
      <c r="B20" s="135" t="s">
        <v>314</v>
      </c>
      <c r="C20" s="169"/>
      <c r="D20" s="169"/>
      <c r="E20" s="1149">
        <v>0</v>
      </c>
      <c r="F20" s="7"/>
      <c r="G20" s="148"/>
      <c r="L20" s="147"/>
    </row>
    <row r="21" spans="1:12" ht="15">
      <c r="A21" s="147"/>
      <c r="B21" s="135" t="s">
        <v>138</v>
      </c>
      <c r="C21" s="169"/>
      <c r="D21" s="169"/>
      <c r="E21" s="139"/>
      <c r="F21" s="173">
        <f>ROUND(E19*E20,4)</f>
        <v>0</v>
      </c>
      <c r="G21" s="148"/>
      <c r="L21" s="147"/>
    </row>
    <row r="22" spans="1:12" ht="15">
      <c r="A22" s="147"/>
      <c r="B22" s="135"/>
      <c r="C22" s="169"/>
      <c r="D22" s="169"/>
      <c r="E22" s="139"/>
      <c r="F22" s="173"/>
      <c r="G22" s="148"/>
      <c r="L22" s="147"/>
    </row>
    <row r="23" spans="1:12" ht="15">
      <c r="A23" s="147">
        <f>A19+1</f>
        <v>5</v>
      </c>
      <c r="B23" s="135" t="s">
        <v>933</v>
      </c>
      <c r="C23" s="169"/>
      <c r="D23" s="172"/>
      <c r="E23" s="1148">
        <v>0</v>
      </c>
      <c r="F23" s="174"/>
      <c r="G23" s="148"/>
      <c r="L23" s="147"/>
    </row>
    <row r="24" spans="1:12" ht="15">
      <c r="A24" s="147"/>
      <c r="B24" s="135" t="s">
        <v>314</v>
      </c>
      <c r="C24" s="169"/>
      <c r="D24" s="169"/>
      <c r="E24" s="1149">
        <v>0</v>
      </c>
      <c r="F24" s="174"/>
      <c r="G24" s="148"/>
      <c r="L24" s="147"/>
    </row>
    <row r="25" spans="1:12" ht="15">
      <c r="A25" s="147"/>
      <c r="B25" s="135" t="s">
        <v>138</v>
      </c>
      <c r="C25" s="169"/>
      <c r="D25" s="169"/>
      <c r="E25" s="139"/>
      <c r="F25" s="173">
        <f>ROUND(E23*E24,4)</f>
        <v>0</v>
      </c>
      <c r="G25" s="148"/>
      <c r="L25" s="147"/>
    </row>
    <row r="26" spans="1:12" ht="15">
      <c r="A26" s="147"/>
      <c r="B26" s="135"/>
      <c r="C26" s="169"/>
      <c r="D26" s="169"/>
      <c r="E26" s="169"/>
      <c r="F26" s="174"/>
      <c r="G26" s="148"/>
      <c r="L26" s="147"/>
    </row>
    <row r="27" spans="1:12" ht="15" thickBot="1">
      <c r="A27" s="147"/>
      <c r="B27" s="139" t="s">
        <v>666</v>
      </c>
      <c r="C27" s="139"/>
      <c r="D27" s="139"/>
      <c r="E27" s="139"/>
      <c r="F27" s="461">
        <f>ROUND(SUM(F9:F26),4)</f>
        <v>0.06</v>
      </c>
      <c r="G27" s="148"/>
      <c r="L27" s="147"/>
    </row>
    <row r="28" spans="1:12" ht="13.5" thickTop="1">
      <c r="A28" s="147"/>
      <c r="G28" s="146"/>
      <c r="L28" s="147"/>
    </row>
    <row r="29" spans="1:12" ht="12.75">
      <c r="A29" s="147"/>
      <c r="G29" s="146"/>
      <c r="H29" s="146"/>
      <c r="L29" s="147"/>
    </row>
    <row r="30" spans="1:12" ht="12.75">
      <c r="A30" s="147"/>
      <c r="G30" s="146"/>
      <c r="H30" s="146"/>
      <c r="L30" s="147"/>
    </row>
    <row r="31" spans="1:12" ht="12.75" customHeight="1">
      <c r="A31" s="147"/>
      <c r="C31" s="139"/>
      <c r="D31" s="139"/>
      <c r="E31" s="139"/>
      <c r="F31" s="139"/>
      <c r="G31" s="146"/>
      <c r="H31" s="146"/>
      <c r="L31" s="147"/>
    </row>
    <row r="32" spans="1:12" ht="21.75" customHeight="1">
      <c r="A32" s="102" t="s">
        <v>287</v>
      </c>
      <c r="B32" s="1218" t="s">
        <v>202</v>
      </c>
      <c r="C32" s="1218"/>
      <c r="D32" s="1218"/>
      <c r="E32" s="1218"/>
      <c r="F32" s="1218"/>
      <c r="G32" s="1218"/>
      <c r="H32" s="146"/>
      <c r="I32" s="137"/>
      <c r="L32" s="146"/>
    </row>
    <row r="33" spans="1:12" ht="18" customHeight="1">
      <c r="A33" s="101"/>
      <c r="B33" s="1218"/>
      <c r="C33" s="1218"/>
      <c r="D33" s="1218"/>
      <c r="E33" s="1218"/>
      <c r="F33" s="1218"/>
      <c r="G33" s="1218"/>
      <c r="H33" s="146"/>
      <c r="L33" s="146"/>
    </row>
    <row r="34" spans="1:12" ht="12.75" customHeight="1">
      <c r="A34" s="101"/>
      <c r="B34" s="1218"/>
      <c r="C34" s="1218"/>
      <c r="D34" s="1218"/>
      <c r="E34" s="1218"/>
      <c r="F34" s="1218"/>
      <c r="G34" s="1218"/>
      <c r="H34" s="146"/>
      <c r="I34" s="146"/>
      <c r="L34" s="146"/>
    </row>
    <row r="35" spans="1:12" ht="12.75">
      <c r="A35" s="101" t="s">
        <v>58</v>
      </c>
      <c r="B35" s="101" t="s">
        <v>59</v>
      </c>
      <c r="C35" s="101"/>
      <c r="D35" s="101"/>
      <c r="E35" s="101"/>
      <c r="F35" s="101"/>
      <c r="G35" s="101"/>
      <c r="H35" s="146"/>
      <c r="I35" s="146"/>
      <c r="L35" s="146"/>
    </row>
    <row r="242" ht="12.75">
      <c r="B242" t="s">
        <v>841</v>
      </c>
    </row>
  </sheetData>
  <sheetProtection/>
  <mergeCells count="5">
    <mergeCell ref="B32:G34"/>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AC232"/>
  <sheetViews>
    <sheetView zoomScale="75" zoomScaleNormal="75" zoomScalePageLayoutView="0" workbookViewId="0" topLeftCell="A28">
      <selection activeCell="E36" sqref="E36"/>
    </sheetView>
  </sheetViews>
  <sheetFormatPr defaultColWidth="9.140625" defaultRowHeight="12.75"/>
  <cols>
    <col min="1" max="1" width="7.28125" style="449" customWidth="1"/>
    <col min="2" max="2" width="1.7109375" style="450" customWidth="1"/>
    <col min="3" max="3" width="62.421875" style="450" customWidth="1"/>
    <col min="4" max="4" width="11.00390625" style="450" customWidth="1"/>
    <col min="5" max="5" width="20.421875" style="444" customWidth="1"/>
    <col min="6" max="6" width="1.7109375" style="435" customWidth="1"/>
    <col min="7" max="7" width="20.00390625" style="435" bestFit="1" customWidth="1"/>
    <col min="8" max="8" width="1.7109375" style="435" customWidth="1"/>
    <col min="9" max="9" width="21.421875" style="435" customWidth="1"/>
    <col min="10" max="10" width="1.7109375" style="435" customWidth="1"/>
    <col min="11" max="11" width="17.7109375" style="435" bestFit="1" customWidth="1"/>
    <col min="12" max="12" width="3.421875" style="435" customWidth="1"/>
    <col min="13" max="13" width="22.57421875" style="435" customWidth="1"/>
    <col min="14" max="14" width="1.28515625" style="435" customWidth="1"/>
    <col min="15" max="15" width="22.140625" style="643" customWidth="1"/>
    <col min="16" max="16384" width="9.140625" style="435" customWidth="1"/>
  </cols>
  <sheetData>
    <row r="1" spans="1:13" ht="18.75" customHeight="1">
      <c r="A1" s="1207" t="str">
        <f>'Historic TCOS'!$F$3</f>
        <v>AEPTCo subsidiaries in PJM</v>
      </c>
      <c r="B1" s="1207" t="str">
        <f>'Historic TCOS'!$F$3</f>
        <v>AEPTCo subsidiaries in PJM</v>
      </c>
      <c r="C1" s="1207" t="str">
        <f>'Historic TCOS'!$F$3</f>
        <v>AEPTCo subsidiaries in PJM</v>
      </c>
      <c r="D1" s="1207" t="str">
        <f>'Historic TCOS'!$F$3</f>
        <v>AEPTCo subsidiaries in PJM</v>
      </c>
      <c r="E1" s="1207" t="str">
        <f>'Historic TCOS'!$F$3</f>
        <v>AEPTCo subsidiaries in PJM</v>
      </c>
      <c r="F1" s="1207" t="str">
        <f>'Historic TCOS'!$F$3</f>
        <v>AEPTCo subsidiaries in PJM</v>
      </c>
      <c r="G1" s="1207" t="str">
        <f>'Historic TCOS'!$F$3</f>
        <v>AEPTCo subsidiaries in PJM</v>
      </c>
      <c r="H1" s="1207" t="str">
        <f>'Historic TCOS'!$F$3</f>
        <v>AEPTCo subsidiaries in PJM</v>
      </c>
      <c r="I1" s="1207" t="str">
        <f>'Historic TCOS'!$F$3</f>
        <v>AEPTCo subsidiaries in PJM</v>
      </c>
      <c r="J1" s="1207" t="str">
        <f>'Historic TCOS'!$F$3</f>
        <v>AEPTCo subsidiaries in PJM</v>
      </c>
      <c r="K1" s="1207" t="str">
        <f>'Historic TCOS'!$F$3</f>
        <v>AEPTCo subsidiaries in PJM</v>
      </c>
      <c r="L1" s="1207" t="str">
        <f>'Historic TCOS'!$F$3</f>
        <v>AEPTCo subsidiaries in PJM</v>
      </c>
      <c r="M1" s="1207" t="str">
        <f>'Historic TCOS'!$F$3</f>
        <v>AEPTCo subsidiaries in PJM</v>
      </c>
    </row>
    <row r="2" spans="1:13" ht="18.75" customHeight="1">
      <c r="A2" s="1206" t="str">
        <f>"Cost of Service Formula Rate Using "&amp;'Historic TCOS'!O1&amp;" FF1 Balances"</f>
        <v>Cost of Service Formula Rate Using 2014 FF1 Balances</v>
      </c>
      <c r="B2" s="1206"/>
      <c r="C2" s="1206"/>
      <c r="D2" s="1206"/>
      <c r="E2" s="1206"/>
      <c r="F2" s="1206"/>
      <c r="G2" s="1206"/>
      <c r="H2" s="1206"/>
      <c r="I2" s="1206"/>
      <c r="J2" s="1206"/>
      <c r="K2" s="1206"/>
      <c r="L2" s="1206"/>
      <c r="M2" s="1206"/>
    </row>
    <row r="3" spans="1:13" ht="18.75" customHeight="1">
      <c r="A3" s="1206" t="s">
        <v>175</v>
      </c>
      <c r="B3" s="1206"/>
      <c r="C3" s="1206"/>
      <c r="D3" s="1206"/>
      <c r="E3" s="1206"/>
      <c r="F3" s="1206"/>
      <c r="G3" s="1206"/>
      <c r="H3" s="1206"/>
      <c r="I3" s="1206"/>
      <c r="J3" s="1206"/>
      <c r="K3" s="1206"/>
      <c r="L3" s="1206"/>
      <c r="M3" s="1206"/>
    </row>
    <row r="4" spans="1:13" ht="18" customHeight="1">
      <c r="A4" s="1222" t="str">
        <f>+'Historic TCOS'!F7</f>
        <v>AEP KENTUCKY TRANSMISSION COMPANY</v>
      </c>
      <c r="B4" s="1222"/>
      <c r="C4" s="1222"/>
      <c r="D4" s="1222"/>
      <c r="E4" s="1222"/>
      <c r="F4" s="1222"/>
      <c r="G4" s="1222"/>
      <c r="H4" s="1222"/>
      <c r="I4" s="1222"/>
      <c r="J4" s="1222"/>
      <c r="K4" s="1222"/>
      <c r="L4" s="1222"/>
      <c r="M4" s="1222"/>
    </row>
    <row r="5" spans="1:13" ht="18" customHeight="1">
      <c r="A5" s="1210"/>
      <c r="B5" s="1210"/>
      <c r="C5" s="1210"/>
      <c r="D5" s="1210"/>
      <c r="E5" s="1210"/>
      <c r="F5" s="1210"/>
      <c r="G5" s="1210"/>
      <c r="H5" s="1210"/>
      <c r="I5" s="1210"/>
      <c r="J5" s="1210"/>
      <c r="K5" s="1210"/>
      <c r="L5" s="1210"/>
      <c r="M5" s="1210"/>
    </row>
    <row r="6" spans="1:13" ht="18" customHeight="1">
      <c r="A6" s="1219"/>
      <c r="B6" s="1219"/>
      <c r="C6" s="1219"/>
      <c r="D6" s="1219"/>
      <c r="E6" s="1219"/>
      <c r="F6" s="1219"/>
      <c r="G6" s="1219"/>
      <c r="H6" s="1219"/>
      <c r="I6" s="1219"/>
      <c r="J6" s="1219"/>
      <c r="K6" s="1219"/>
      <c r="L6" s="1219"/>
      <c r="M6" s="1219"/>
    </row>
    <row r="7" spans="1:13" ht="18" customHeight="1">
      <c r="A7" s="513"/>
      <c r="B7" s="513"/>
      <c r="C7" s="513"/>
      <c r="D7" s="513"/>
      <c r="E7" s="513"/>
      <c r="F7" s="513"/>
      <c r="G7" s="513"/>
      <c r="H7" s="513"/>
      <c r="I7" s="513"/>
      <c r="J7" s="513"/>
      <c r="K7" s="513"/>
      <c r="L7" s="513"/>
      <c r="M7" s="513"/>
    </row>
    <row r="8" spans="1:13" ht="19.5" customHeight="1">
      <c r="A8" s="437"/>
      <c r="B8" s="438"/>
      <c r="C8" s="168" t="s">
        <v>601</v>
      </c>
      <c r="E8" s="168" t="s">
        <v>602</v>
      </c>
      <c r="G8" s="168" t="s">
        <v>603</v>
      </c>
      <c r="I8" s="168" t="s">
        <v>604</v>
      </c>
      <c r="K8" s="168" t="s">
        <v>522</v>
      </c>
      <c r="M8" s="168" t="s">
        <v>523</v>
      </c>
    </row>
    <row r="9" spans="1:29" ht="17.25">
      <c r="A9" s="595"/>
      <c r="B9" s="596"/>
      <c r="C9" s="596"/>
      <c r="D9" s="596"/>
      <c r="E9"/>
      <c r="F9"/>
      <c r="G9"/>
      <c r="H9"/>
      <c r="I9"/>
      <c r="J9"/>
      <c r="K9"/>
      <c r="L9"/>
      <c r="M9"/>
      <c r="Q9" s="171"/>
      <c r="R9" s="171"/>
      <c r="S9" s="171"/>
      <c r="T9" s="171"/>
      <c r="U9" s="171"/>
      <c r="V9" s="171"/>
      <c r="W9" s="171"/>
      <c r="X9" s="171"/>
      <c r="Y9" s="171"/>
      <c r="Z9" s="171"/>
      <c r="AA9" s="171"/>
      <c r="AB9" s="171"/>
      <c r="AC9" s="171"/>
    </row>
    <row r="10" spans="1:13" ht="17.25">
      <c r="A10" s="595" t="s">
        <v>608</v>
      </c>
      <c r="B10" s="596"/>
      <c r="C10" s="596"/>
      <c r="D10" s="596"/>
      <c r="E10" s="597" t="s">
        <v>559</v>
      </c>
      <c r="F10" s="595"/>
      <c r="G10" s="595"/>
      <c r="H10" s="595"/>
      <c r="I10" s="595"/>
      <c r="J10" s="595"/>
      <c r="K10" s="443"/>
      <c r="L10" s="443"/>
      <c r="M10" s="598"/>
    </row>
    <row r="11" spans="1:13" ht="17.25">
      <c r="A11" s="599" t="s">
        <v>558</v>
      </c>
      <c r="B11" s="596"/>
      <c r="C11" s="599" t="s">
        <v>930</v>
      </c>
      <c r="D11" s="596"/>
      <c r="E11" s="600" t="s">
        <v>642</v>
      </c>
      <c r="F11" s="595"/>
      <c r="G11" s="599" t="s">
        <v>934</v>
      </c>
      <c r="H11" s="595"/>
      <c r="I11" s="599" t="s">
        <v>600</v>
      </c>
      <c r="J11" s="595"/>
      <c r="K11" s="601" t="s">
        <v>620</v>
      </c>
      <c r="L11" s="602"/>
      <c r="M11" s="601" t="s">
        <v>935</v>
      </c>
    </row>
    <row r="12" spans="1:12" ht="17.25">
      <c r="A12" s="439"/>
      <c r="B12" s="438"/>
      <c r="C12" s="434"/>
      <c r="D12" s="434"/>
      <c r="E12" s="434" t="s">
        <v>370</v>
      </c>
      <c r="F12" s="434"/>
      <c r="G12" s="434"/>
      <c r="H12" s="434"/>
      <c r="I12" s="434"/>
      <c r="J12" s="434"/>
      <c r="K12" s="433"/>
      <c r="L12" s="433"/>
    </row>
    <row r="13" spans="1:12" ht="17.25">
      <c r="A13" s="437"/>
      <c r="B13" s="438"/>
      <c r="C13" s="438"/>
      <c r="D13" s="438"/>
      <c r="E13" s="440"/>
      <c r="F13" s="436"/>
      <c r="G13" s="436"/>
      <c r="H13" s="436"/>
      <c r="I13" s="432"/>
      <c r="J13" s="436"/>
      <c r="K13" s="433"/>
      <c r="L13" s="433"/>
    </row>
    <row r="14" spans="1:13" ht="17.25">
      <c r="A14" s="437">
        <v>1</v>
      </c>
      <c r="B14" s="438"/>
      <c r="C14" s="441" t="s">
        <v>946</v>
      </c>
      <c r="D14" s="438"/>
      <c r="E14" s="433"/>
      <c r="F14" s="433"/>
      <c r="G14" s="460"/>
      <c r="H14" s="460"/>
      <c r="I14" s="460"/>
      <c r="J14" s="460"/>
      <c r="K14" s="460"/>
      <c r="L14" s="460"/>
      <c r="M14" s="442"/>
    </row>
    <row r="15" spans="1:13" ht="17.25">
      <c r="A15" s="437">
        <f>+A14+1</f>
        <v>2</v>
      </c>
      <c r="B15" s="438"/>
      <c r="C15" s="433" t="s">
        <v>931</v>
      </c>
      <c r="D15" s="438"/>
      <c r="E15" s="861">
        <f>+'WS H-p2 Detail of Tax Amts'!E12</f>
        <v>-765</v>
      </c>
      <c r="F15" s="433"/>
      <c r="G15" s="460"/>
      <c r="H15" s="460"/>
      <c r="I15" s="460"/>
      <c r="J15" s="460"/>
      <c r="K15" s="460"/>
      <c r="L15" s="460"/>
      <c r="M15" s="442">
        <f>+E15</f>
        <v>-765</v>
      </c>
    </row>
    <row r="16" spans="1:13" ht="17.25">
      <c r="A16" s="437"/>
      <c r="B16" s="438"/>
      <c r="C16" s="443"/>
      <c r="D16" s="438"/>
      <c r="E16" s="862"/>
      <c r="F16" s="433"/>
      <c r="G16" s="460"/>
      <c r="H16" s="460"/>
      <c r="I16" s="460"/>
      <c r="J16" s="460"/>
      <c r="K16" s="460"/>
      <c r="L16" s="460"/>
      <c r="M16" s="442"/>
    </row>
    <row r="17" spans="1:13" ht="17.25">
      <c r="A17" s="437">
        <f>+A15+1</f>
        <v>3</v>
      </c>
      <c r="B17" s="438"/>
      <c r="C17" s="441" t="s">
        <v>947</v>
      </c>
      <c r="D17" s="438"/>
      <c r="E17" s="862"/>
      <c r="F17" s="433"/>
      <c r="G17" s="460"/>
      <c r="H17" s="460"/>
      <c r="I17" s="460"/>
      <c r="J17" s="460"/>
      <c r="K17" s="460"/>
      <c r="L17" s="460"/>
      <c r="M17" s="442"/>
    </row>
    <row r="18" spans="1:15" ht="17.25">
      <c r="A18" s="437">
        <f>+A17+1</f>
        <v>4</v>
      </c>
      <c r="B18" s="438"/>
      <c r="C18" s="436" t="s">
        <v>1027</v>
      </c>
      <c r="D18" s="436"/>
      <c r="E18" s="861">
        <f>+'WS H-p2 Detail of Tax Amts'!E17</f>
        <v>0</v>
      </c>
      <c r="F18" s="436"/>
      <c r="G18" s="460">
        <f>+E18</f>
        <v>0</v>
      </c>
      <c r="H18" s="460"/>
      <c r="I18" s="460"/>
      <c r="J18" s="460"/>
      <c r="K18" s="460"/>
      <c r="L18" s="460"/>
      <c r="M18" s="442"/>
      <c r="O18"/>
    </row>
    <row r="19" spans="1:15" ht="17.25">
      <c r="A19" s="437">
        <f>+A18+1</f>
        <v>5</v>
      </c>
      <c r="B19" s="438"/>
      <c r="C19" s="436" t="s">
        <v>1032</v>
      </c>
      <c r="D19" s="436"/>
      <c r="E19" s="861">
        <f>+'WS H-p2 Detail of Tax Amts'!E24</f>
        <v>0</v>
      </c>
      <c r="F19" s="436"/>
      <c r="G19" s="460">
        <f>+E19</f>
        <v>0</v>
      </c>
      <c r="H19" s="460"/>
      <c r="I19" s="460"/>
      <c r="J19" s="460"/>
      <c r="K19" s="460"/>
      <c r="L19" s="460"/>
      <c r="M19" s="442"/>
      <c r="O19"/>
    </row>
    <row r="20" spans="1:15" ht="17.25">
      <c r="A20" s="437">
        <f>+A19+1</f>
        <v>6</v>
      </c>
      <c r="B20" s="438"/>
      <c r="C20" s="436" t="s">
        <v>1032</v>
      </c>
      <c r="D20" s="436"/>
      <c r="E20" s="861">
        <f>+'WS H-p2 Detail of Tax Amts'!E31</f>
        <v>0</v>
      </c>
      <c r="F20" s="436"/>
      <c r="G20" s="460">
        <f>+E20</f>
        <v>0</v>
      </c>
      <c r="H20" s="460"/>
      <c r="I20" s="460"/>
      <c r="J20" s="460"/>
      <c r="K20" s="460"/>
      <c r="L20" s="460"/>
      <c r="M20" s="442"/>
      <c r="O20"/>
    </row>
    <row r="21" spans="1:15" ht="17.25">
      <c r="A21" s="437">
        <f>+A20+1</f>
        <v>7</v>
      </c>
      <c r="B21" s="438"/>
      <c r="C21" s="436" t="s">
        <v>162</v>
      </c>
      <c r="D21" s="650"/>
      <c r="E21" s="861">
        <f>+'WS H-p2 Detail of Tax Amts'!E34</f>
        <v>0</v>
      </c>
      <c r="F21" s="433"/>
      <c r="G21" s="460">
        <f>+E21</f>
        <v>0</v>
      </c>
      <c r="H21" s="460"/>
      <c r="I21" s="460"/>
      <c r="J21" s="460"/>
      <c r="K21" s="460"/>
      <c r="L21" s="460"/>
      <c r="M21" s="442"/>
      <c r="O21"/>
    </row>
    <row r="22" spans="1:15" ht="17.25">
      <c r="A22" s="437"/>
      <c r="B22" s="438"/>
      <c r="C22" s="443"/>
      <c r="D22" s="438"/>
      <c r="E22" s="862"/>
      <c r="F22" s="433"/>
      <c r="G22" s="460"/>
      <c r="H22" s="460"/>
      <c r="I22" s="460"/>
      <c r="J22" s="460"/>
      <c r="K22" s="460"/>
      <c r="L22" s="460"/>
      <c r="M22" s="442"/>
      <c r="O22" s="644"/>
    </row>
    <row r="23" spans="1:15" ht="17.25">
      <c r="A23" s="437">
        <f>+A21+1</f>
        <v>8</v>
      </c>
      <c r="B23" s="438"/>
      <c r="C23" s="441" t="s">
        <v>948</v>
      </c>
      <c r="D23" s="438"/>
      <c r="E23" s="862"/>
      <c r="F23" s="433"/>
      <c r="G23" s="460"/>
      <c r="H23" s="460"/>
      <c r="I23" s="460"/>
      <c r="J23" s="460"/>
      <c r="K23" s="460"/>
      <c r="L23" s="460"/>
      <c r="M23" s="442"/>
      <c r="O23" s="644"/>
    </row>
    <row r="24" spans="1:15" ht="17.25">
      <c r="A24" s="437">
        <f>+A23+1</f>
        <v>9</v>
      </c>
      <c r="B24" s="438"/>
      <c r="C24" s="436" t="s">
        <v>944</v>
      </c>
      <c r="D24" s="438"/>
      <c r="E24" s="861">
        <f>+'WS H-p2 Detail of Tax Amts'!E37</f>
        <v>0</v>
      </c>
      <c r="F24" s="433"/>
      <c r="G24" s="460"/>
      <c r="H24" s="460"/>
      <c r="I24" s="460">
        <f>+E24</f>
        <v>0</v>
      </c>
      <c r="J24" s="460"/>
      <c r="K24" s="460"/>
      <c r="L24" s="460"/>
      <c r="M24" s="442"/>
      <c r="O24" s="644"/>
    </row>
    <row r="25" spans="1:13" ht="17.25">
      <c r="A25" s="437">
        <f>+A24+1</f>
        <v>10</v>
      </c>
      <c r="B25" s="438"/>
      <c r="C25" s="436" t="s">
        <v>937</v>
      </c>
      <c r="D25" s="438"/>
      <c r="E25" s="861">
        <f>+'WS H-p2 Detail of Tax Amts'!E39</f>
        <v>0</v>
      </c>
      <c r="F25" s="433"/>
      <c r="G25" s="433"/>
      <c r="H25" s="433"/>
      <c r="I25" s="442">
        <f>+E25</f>
        <v>0</v>
      </c>
      <c r="J25" s="436"/>
      <c r="K25" s="433"/>
      <c r="L25" s="433"/>
      <c r="M25" s="442"/>
    </row>
    <row r="26" spans="1:13" ht="17.25">
      <c r="A26" s="437">
        <f>+A25+1</f>
        <v>11</v>
      </c>
      <c r="B26" s="438"/>
      <c r="C26" s="436" t="s">
        <v>938</v>
      </c>
      <c r="D26" s="438"/>
      <c r="E26" s="861">
        <f>+'WS H-p2 Detail of Tax Amts'!E41</f>
        <v>0</v>
      </c>
      <c r="F26" s="433"/>
      <c r="G26" s="433"/>
      <c r="H26" s="433"/>
      <c r="I26" s="442">
        <f>+E26</f>
        <v>0</v>
      </c>
      <c r="J26" s="440"/>
      <c r="K26" s="433"/>
      <c r="L26" s="433"/>
      <c r="M26" s="442"/>
    </row>
    <row r="27" spans="1:13" ht="18">
      <c r="A27" s="437" t="s">
        <v>555</v>
      </c>
      <c r="B27" s="438"/>
      <c r="C27" s="433"/>
      <c r="D27" s="438"/>
      <c r="E27" s="862"/>
      <c r="F27" s="433"/>
      <c r="G27" s="433"/>
      <c r="H27" s="433"/>
      <c r="I27" s="452"/>
      <c r="J27" s="453"/>
      <c r="K27" s="456"/>
      <c r="L27" s="456"/>
      <c r="M27" s="442"/>
    </row>
    <row r="28" spans="1:13" ht="18">
      <c r="A28" s="437">
        <f>A26+1</f>
        <v>12</v>
      </c>
      <c r="B28" s="438"/>
      <c r="C28" s="1021" t="s">
        <v>877</v>
      </c>
      <c r="D28" s="438"/>
      <c r="E28" s="1022"/>
      <c r="F28" s="1023"/>
      <c r="G28" s="1023"/>
      <c r="H28" s="1023"/>
      <c r="I28" s="1024"/>
      <c r="J28" s="1025"/>
      <c r="K28" s="1026"/>
      <c r="L28" s="1026"/>
      <c r="M28" s="1027"/>
    </row>
    <row r="29" spans="1:13" ht="18">
      <c r="A29" s="437">
        <f>A28+1</f>
        <v>13</v>
      </c>
      <c r="B29" s="438"/>
      <c r="C29" s="448" t="s">
        <v>97</v>
      </c>
      <c r="D29" s="650"/>
      <c r="E29" s="861">
        <f>+'WS H-p2 Detail of Tax Amts'!E46</f>
        <v>0</v>
      </c>
      <c r="F29" s="448"/>
      <c r="G29" s="433"/>
      <c r="H29" s="433"/>
      <c r="I29" s="452"/>
      <c r="J29" s="453"/>
      <c r="K29" s="456"/>
      <c r="L29" s="456"/>
      <c r="M29" s="442">
        <f>E29</f>
        <v>0</v>
      </c>
    </row>
    <row r="30" spans="1:13" ht="18">
      <c r="A30" s="437"/>
      <c r="B30" s="438"/>
      <c r="C30" s="433"/>
      <c r="D30" s="438"/>
      <c r="E30" s="862"/>
      <c r="F30" s="433"/>
      <c r="G30" s="433"/>
      <c r="H30" s="433"/>
      <c r="I30" s="452"/>
      <c r="J30" s="453"/>
      <c r="K30" s="456"/>
      <c r="L30" s="456"/>
      <c r="M30" s="442"/>
    </row>
    <row r="31" spans="1:13" ht="17.25">
      <c r="A31" s="445">
        <f>A29+1</f>
        <v>14</v>
      </c>
      <c r="B31" s="446"/>
      <c r="C31" s="441" t="s">
        <v>945</v>
      </c>
      <c r="D31" s="447"/>
      <c r="E31" s="862"/>
      <c r="F31" s="433"/>
      <c r="G31" s="442"/>
      <c r="H31" s="442"/>
      <c r="I31" s="442"/>
      <c r="J31" s="442"/>
      <c r="K31" s="442"/>
      <c r="L31" s="442"/>
      <c r="M31" s="442"/>
    </row>
    <row r="32" spans="1:13" ht="17.25">
      <c r="A32" s="445">
        <f>A31+1</f>
        <v>15</v>
      </c>
      <c r="B32" s="446"/>
      <c r="C32" s="433" t="s">
        <v>96</v>
      </c>
      <c r="D32" s="447"/>
      <c r="E32" s="861">
        <f>+'WS H-p2 Detail of Tax Amts'!E49</f>
        <v>0</v>
      </c>
      <c r="F32" s="448"/>
      <c r="G32" s="442"/>
      <c r="H32" s="442"/>
      <c r="I32" s="442"/>
      <c r="J32" s="442"/>
      <c r="K32" s="442"/>
      <c r="L32" s="442"/>
      <c r="M32" s="442">
        <f>E32</f>
        <v>0</v>
      </c>
    </row>
    <row r="33" spans="1:13" ht="17.25">
      <c r="A33" s="437">
        <f>A32+1</f>
        <v>16</v>
      </c>
      <c r="B33" s="438"/>
      <c r="C33" s="433" t="s">
        <v>939</v>
      </c>
      <c r="D33" s="438"/>
      <c r="E33" s="508">
        <f>+'WS H-p2 Detail of Tax Amts'!E52</f>
        <v>0</v>
      </c>
      <c r="F33" s="433"/>
      <c r="G33" s="442"/>
      <c r="H33" s="442"/>
      <c r="I33" s="442"/>
      <c r="J33" s="442"/>
      <c r="K33" s="442">
        <f>+E33</f>
        <v>0</v>
      </c>
      <c r="L33" s="442"/>
      <c r="M33" s="442"/>
    </row>
    <row r="34" spans="1:13" ht="17.25">
      <c r="A34" s="437">
        <f aca="true" t="shared" si="0" ref="A34:A39">+A33+1</f>
        <v>17</v>
      </c>
      <c r="B34" s="438"/>
      <c r="C34" s="433" t="s">
        <v>940</v>
      </c>
      <c r="D34"/>
      <c r="E34" s="508">
        <f>+'WS H-p2 Detail of Tax Amts'!E56</f>
        <v>0</v>
      </c>
      <c r="F34" s="433"/>
      <c r="G34" s="508"/>
      <c r="H34" s="508"/>
      <c r="I34" s="508"/>
      <c r="J34" s="508"/>
      <c r="K34" s="442">
        <f>+E34</f>
        <v>0</v>
      </c>
      <c r="L34" s="508"/>
      <c r="M34" s="442"/>
    </row>
    <row r="35" spans="1:13" ht="17.25">
      <c r="A35" s="437">
        <f>+A34+1</f>
        <v>18</v>
      </c>
      <c r="B35" s="438"/>
      <c r="C35" s="433" t="s">
        <v>941</v>
      </c>
      <c r="D35"/>
      <c r="E35" s="508">
        <f>'WS H-p2 Detail of Tax Amts'!E68</f>
        <v>0</v>
      </c>
      <c r="F35" s="433"/>
      <c r="G35" s="442"/>
      <c r="H35" s="442"/>
      <c r="I35" s="442"/>
      <c r="J35" s="442"/>
      <c r="K35" s="442">
        <f>+E35</f>
        <v>0</v>
      </c>
      <c r="L35" s="442"/>
      <c r="M35" s="442"/>
    </row>
    <row r="36" spans="1:13" ht="17.25">
      <c r="A36" s="437">
        <f t="shared" si="0"/>
        <v>19</v>
      </c>
      <c r="B36" s="438"/>
      <c r="C36" s="433" t="s">
        <v>942</v>
      </c>
      <c r="D36" s="438"/>
      <c r="E36" s="508">
        <f>+'WS H-p2 Detail of Tax Amts'!E73</f>
        <v>0</v>
      </c>
      <c r="F36" s="433"/>
      <c r="G36" s="442"/>
      <c r="H36" s="442"/>
      <c r="I36" s="442"/>
      <c r="J36" s="442"/>
      <c r="K36" s="442">
        <f>+E36</f>
        <v>0</v>
      </c>
      <c r="L36" s="442"/>
      <c r="M36" s="442"/>
    </row>
    <row r="37" spans="1:13" ht="17.25">
      <c r="A37" s="437">
        <f t="shared" si="0"/>
        <v>20</v>
      </c>
      <c r="B37" s="438"/>
      <c r="C37" s="433" t="s">
        <v>943</v>
      </c>
      <c r="D37" s="438"/>
      <c r="E37" s="508">
        <f>+'WS H-p2 Detail of Tax Amts'!E76</f>
        <v>0</v>
      </c>
      <c r="F37" s="448"/>
      <c r="G37" s="442"/>
      <c r="H37" s="442"/>
      <c r="I37" s="442"/>
      <c r="J37" s="442"/>
      <c r="K37" s="442"/>
      <c r="L37" s="442"/>
      <c r="M37" s="442">
        <f>+E37</f>
        <v>0</v>
      </c>
    </row>
    <row r="38" spans="1:13" ht="17.25">
      <c r="A38" s="437">
        <f t="shared" si="0"/>
        <v>21</v>
      </c>
      <c r="B38" s="433"/>
      <c r="C38" s="433" t="s">
        <v>932</v>
      </c>
      <c r="D38" s="433"/>
      <c r="E38" s="508">
        <f>+'WS H-p2 Detail of Tax Amts'!E82</f>
        <v>0</v>
      </c>
      <c r="F38" s="433"/>
      <c r="G38" s="442"/>
      <c r="H38" s="442"/>
      <c r="I38" s="442"/>
      <c r="J38" s="442"/>
      <c r="K38" s="442"/>
      <c r="L38" s="442"/>
      <c r="M38" s="442">
        <f>+E38</f>
        <v>0</v>
      </c>
    </row>
    <row r="39" spans="1:13" ht="17.25">
      <c r="A39" s="437">
        <f t="shared" si="0"/>
        <v>22</v>
      </c>
      <c r="B39" s="433"/>
      <c r="C39" s="459" t="s">
        <v>547</v>
      </c>
      <c r="D39" s="448"/>
      <c r="E39" s="508">
        <v>0</v>
      </c>
      <c r="F39" s="448"/>
      <c r="G39" s="442"/>
      <c r="H39" s="442"/>
      <c r="I39" s="442"/>
      <c r="J39" s="442"/>
      <c r="K39" s="442"/>
      <c r="L39" s="442"/>
      <c r="M39" s="442">
        <f>+E39</f>
        <v>0</v>
      </c>
    </row>
    <row r="40" spans="1:13" ht="17.25">
      <c r="A40" s="102"/>
      <c r="B40" s="707"/>
      <c r="C40" s="707"/>
      <c r="D40"/>
      <c r="E40"/>
      <c r="F40" s="433"/>
      <c r="H40" s="451"/>
      <c r="I40" s="454"/>
      <c r="J40" s="454"/>
      <c r="K40" s="456"/>
      <c r="L40" s="457"/>
      <c r="M40" s="457"/>
    </row>
    <row r="41" spans="1:13" ht="18" thickBot="1">
      <c r="A41" s="717">
        <f>+A39+1</f>
        <v>23</v>
      </c>
      <c r="B41" s="707"/>
      <c r="C41" s="433" t="s">
        <v>936</v>
      </c>
      <c r="D41"/>
      <c r="E41" s="458">
        <f>SUM(E15:E39)</f>
        <v>-765</v>
      </c>
      <c r="F41" s="433"/>
      <c r="G41" s="458">
        <f>SUM(G15:G39)</f>
        <v>0</v>
      </c>
      <c r="H41" s="451"/>
      <c r="I41" s="458">
        <f>SUM(I15:I39)</f>
        <v>0</v>
      </c>
      <c r="J41" s="454"/>
      <c r="K41" s="458">
        <f>SUM(K15:K39)</f>
        <v>0</v>
      </c>
      <c r="L41" s="457"/>
      <c r="M41" s="458">
        <f>SUM(M15:M39)</f>
        <v>-765</v>
      </c>
    </row>
    <row r="42" spans="1:13" ht="18" thickTop="1">
      <c r="A42" s="102"/>
      <c r="B42" s="707"/>
      <c r="C42" s="433" t="s">
        <v>7</v>
      </c>
      <c r="D42"/>
      <c r="E42"/>
      <c r="F42" s="433"/>
      <c r="G42" s="451"/>
      <c r="H42" s="451"/>
      <c r="I42" s="454"/>
      <c r="J42" s="455"/>
      <c r="K42" s="457"/>
      <c r="L42" s="457"/>
      <c r="M42" s="457"/>
    </row>
    <row r="43" spans="1:13" ht="17.25">
      <c r="A43" s="102"/>
      <c r="B43" s="707"/>
      <c r="C43" s="448" t="s">
        <v>816</v>
      </c>
      <c r="D43"/>
      <c r="E43"/>
      <c r="F43" s="433"/>
      <c r="G43" s="451"/>
      <c r="H43" s="451"/>
      <c r="I43" s="454"/>
      <c r="J43" s="455"/>
      <c r="K43" s="457"/>
      <c r="L43" s="457"/>
      <c r="M43" s="457"/>
    </row>
    <row r="44" spans="1:13" ht="15.75">
      <c r="A44" s="102"/>
      <c r="B44" s="707"/>
      <c r="C44" s="1221" t="s">
        <v>161</v>
      </c>
      <c r="D44" s="1221"/>
      <c r="E44" s="1221"/>
      <c r="F44" s="1221"/>
      <c r="G44" s="1221"/>
      <c r="H44" s="1221"/>
      <c r="I44" s="1221"/>
      <c r="J44" s="1221"/>
      <c r="K44" s="1221"/>
      <c r="L44" s="1221"/>
      <c r="M44" s="1221"/>
    </row>
    <row r="45" spans="1:13" ht="65.25">
      <c r="A45" s="437"/>
      <c r="C45" s="433"/>
      <c r="D45" s="433"/>
      <c r="E45" s="1028" t="s">
        <v>878</v>
      </c>
      <c r="G45" s="462" t="s">
        <v>556</v>
      </c>
      <c r="H45" s="462"/>
      <c r="I45" s="1028" t="s">
        <v>879</v>
      </c>
      <c r="J45" s="462"/>
      <c r="K45" s="462" t="s">
        <v>957</v>
      </c>
      <c r="L45" s="462"/>
      <c r="M45" s="462" t="s">
        <v>559</v>
      </c>
    </row>
    <row r="46" spans="1:13" ht="17.25">
      <c r="A46" s="504">
        <f>+A41+1</f>
        <v>24</v>
      </c>
      <c r="B46" s="505"/>
      <c r="C46" s="785" t="str">
        <f>"Functionalized Net Plant (Hist. TCOS, Lns "&amp;'Historic TCOS'!B90&amp;" thru "&amp;'Historic TCOS'!B100&amp;")"</f>
        <v>Functionalized Net Plant (Hist. TCOS, Lns 224 thru 234)</v>
      </c>
      <c r="D46" s="448"/>
      <c r="E46" s="786">
        <f>+'Historic TCOS'!G90</f>
        <v>0</v>
      </c>
      <c r="F46" s="785"/>
      <c r="G46" s="786">
        <f>+'Historic TCOS'!G91</f>
        <v>0</v>
      </c>
      <c r="H46" s="785"/>
      <c r="I46" s="786">
        <f>+'Historic TCOS'!G97</f>
        <v>0</v>
      </c>
      <c r="J46" s="785"/>
      <c r="K46" s="787">
        <f>+'Historic TCOS'!G98</f>
        <v>0</v>
      </c>
      <c r="L46" s="448"/>
      <c r="M46" s="506">
        <f>SUM(E46:K46)</f>
        <v>0</v>
      </c>
    </row>
    <row r="47" spans="1:13" ht="17.25">
      <c r="A47" s="504"/>
      <c r="B47" s="505"/>
      <c r="C47" s="443" t="s">
        <v>1029</v>
      </c>
      <c r="D47" s="448"/>
      <c r="E47" s="506"/>
      <c r="F47" s="448"/>
      <c r="G47" s="631"/>
      <c r="H47" s="448"/>
      <c r="I47" s="506"/>
      <c r="J47" s="448"/>
      <c r="K47" s="507"/>
      <c r="L47" s="448"/>
      <c r="M47" s="642"/>
    </row>
    <row r="48" spans="1:13" ht="17.25">
      <c r="A48" s="504">
        <f>+A46+1</f>
        <v>25</v>
      </c>
      <c r="B48" s="505"/>
      <c r="C48" s="448" t="str">
        <f>"Percentage of Plant in "&amp;C47&amp;""</f>
        <v>Percentage of Plant in KENTUCKY JURISDICTION</v>
      </c>
      <c r="D48" s="448"/>
      <c r="E48" s="828"/>
      <c r="F48" s="634"/>
      <c r="G48" s="828"/>
      <c r="H48" s="634"/>
      <c r="I48" s="828"/>
      <c r="J48" s="631"/>
      <c r="K48" s="828"/>
      <c r="L48" s="448"/>
      <c r="M48" s="642"/>
    </row>
    <row r="49" spans="1:15" ht="17.25">
      <c r="A49" s="504">
        <f aca="true" t="shared" si="1" ref="A49:A56">+A48+1</f>
        <v>26</v>
      </c>
      <c r="B49" s="505"/>
      <c r="C49" s="785" t="str">
        <f>"Net Plant in "&amp;C47&amp;" (Ln "&amp;A46&amp;" * Ln "&amp;A48&amp;")"</f>
        <v>Net Plant in KENTUCKY JURISDICTION (Ln 24 * Ln 25)</v>
      </c>
      <c r="D49" s="448"/>
      <c r="E49" s="506">
        <f>+E46*E48</f>
        <v>0</v>
      </c>
      <c r="F49" s="448"/>
      <c r="G49" s="506">
        <f>+G46*G48</f>
        <v>0</v>
      </c>
      <c r="H49" s="448"/>
      <c r="I49" s="506">
        <f>+I46*I48</f>
        <v>0</v>
      </c>
      <c r="J49" s="448"/>
      <c r="K49" s="506">
        <f>+K46*K48</f>
        <v>0</v>
      </c>
      <c r="L49" s="448"/>
      <c r="M49" s="506">
        <f>SUM(E49:K49)</f>
        <v>0</v>
      </c>
      <c r="O49"/>
    </row>
    <row r="50" spans="1:15" ht="17.25">
      <c r="A50" s="504">
        <f t="shared" si="1"/>
        <v>27</v>
      </c>
      <c r="B50" s="505"/>
      <c r="C50" s="785" t="s">
        <v>744</v>
      </c>
      <c r="D50" s="448"/>
      <c r="E50" s="822"/>
      <c r="F50" s="448"/>
      <c r="G50" s="627"/>
      <c r="H50" s="448"/>
      <c r="I50" s="627"/>
      <c r="J50" s="448"/>
      <c r="K50" s="628"/>
      <c r="L50" s="448"/>
      <c r="M50" s="506"/>
      <c r="O50"/>
    </row>
    <row r="51" spans="1:15" ht="17.25">
      <c r="A51" s="504">
        <f t="shared" si="1"/>
        <v>28</v>
      </c>
      <c r="B51" s="505"/>
      <c r="C51" s="448" t="str">
        <f>"Taxable Property Basis (Ln "&amp;A49&amp;" - Ln "&amp;A50&amp;")"</f>
        <v>Taxable Property Basis (Ln 26 - Ln 27)</v>
      </c>
      <c r="D51" s="448"/>
      <c r="E51" s="506">
        <f>+E49-E50</f>
        <v>0</v>
      </c>
      <c r="F51" s="448"/>
      <c r="G51" s="506">
        <f>+G49-G50</f>
        <v>0</v>
      </c>
      <c r="H51" s="448"/>
      <c r="I51" s="506">
        <f>+I49-I50</f>
        <v>0</v>
      </c>
      <c r="J51" s="448"/>
      <c r="K51" s="506">
        <f>+K49-K50</f>
        <v>0</v>
      </c>
      <c r="L51" s="448"/>
      <c r="M51" s="506">
        <f>SUM(E51:K51)</f>
        <v>0</v>
      </c>
      <c r="O51"/>
    </row>
    <row r="52" spans="1:15" ht="17.25">
      <c r="A52" s="504">
        <f t="shared" si="1"/>
        <v>29</v>
      </c>
      <c r="B52" s="505"/>
      <c r="C52" s="508" t="s">
        <v>159</v>
      </c>
      <c r="D52" s="448"/>
      <c r="E52" s="623"/>
      <c r="F52" s="624"/>
      <c r="G52" s="623"/>
      <c r="H52" s="624"/>
      <c r="I52" s="623"/>
      <c r="J52" s="625"/>
      <c r="K52" s="623"/>
      <c r="L52" s="448"/>
      <c r="M52" s="1068">
        <f>SUM(E52:K52)</f>
        <v>0</v>
      </c>
      <c r="O52"/>
    </row>
    <row r="53" spans="1:21" ht="17.25">
      <c r="A53" s="504">
        <f t="shared" si="1"/>
        <v>30</v>
      </c>
      <c r="B53" s="505"/>
      <c r="C53" s="785" t="str">
        <f>"Weighted Net Plant (Ln "&amp;A51&amp;" * Ln "&amp;A52&amp;")"</f>
        <v>Weighted Net Plant (Ln 28 * Ln 29)</v>
      </c>
      <c r="D53" s="448"/>
      <c r="E53" s="506">
        <f>+E51*E52</f>
        <v>0</v>
      </c>
      <c r="F53" s="448"/>
      <c r="G53" s="506">
        <f>+G51*G52</f>
        <v>0</v>
      </c>
      <c r="H53" s="448"/>
      <c r="I53" s="506">
        <f>+I51*I52</f>
        <v>0</v>
      </c>
      <c r="J53" s="448"/>
      <c r="K53" s="506">
        <f>+K51*K52</f>
        <v>0</v>
      </c>
      <c r="L53" s="448"/>
      <c r="M53" s="506"/>
      <c r="O53"/>
      <c r="P53"/>
      <c r="Q53"/>
      <c r="R53"/>
      <c r="S53"/>
      <c r="T53"/>
      <c r="U53"/>
    </row>
    <row r="54" spans="1:21" ht="17.25">
      <c r="A54" s="504">
        <f t="shared" si="1"/>
        <v>31</v>
      </c>
      <c r="B54" s="505"/>
      <c r="C54" s="448" t="str">
        <f>+"General Plant Allocator (Ln "&amp;A53&amp;" / (Total - General Plant))"</f>
        <v>General Plant Allocator (Ln 30 / (Total - General Plant))</v>
      </c>
      <c r="D54" s="448"/>
      <c r="E54" s="509">
        <f>IF(E52=0,0,+E53/($E53+$G53+$I53))</f>
        <v>0</v>
      </c>
      <c r="F54" s="448"/>
      <c r="G54" s="509">
        <v>1</v>
      </c>
      <c r="H54" s="448"/>
      <c r="I54" s="509">
        <f>IF(I52=0,0,+I53/($E53+$G53+$I53))</f>
        <v>0</v>
      </c>
      <c r="J54" s="448"/>
      <c r="K54" s="509">
        <v>-1</v>
      </c>
      <c r="L54" s="448"/>
      <c r="M54" s="448"/>
      <c r="O54"/>
      <c r="P54"/>
      <c r="Q54"/>
      <c r="R54"/>
      <c r="S54"/>
      <c r="T54"/>
      <c r="U54"/>
    </row>
    <row r="55" spans="1:21" ht="17.25">
      <c r="A55" s="504">
        <f t="shared" si="1"/>
        <v>32</v>
      </c>
      <c r="B55" s="505"/>
      <c r="C55" s="448" t="str">
        <f>"Functionalized General Plant (Ln "&amp;A54&amp;" * General Plant)"</f>
        <v>Functionalized General Plant (Ln 31 * General Plant)</v>
      </c>
      <c r="D55" s="448"/>
      <c r="E55" s="510">
        <f>ROUND($K53*E54,0)</f>
        <v>0</v>
      </c>
      <c r="F55" s="448"/>
      <c r="G55" s="510">
        <f>+G54*K53</f>
        <v>0</v>
      </c>
      <c r="H55" s="448"/>
      <c r="I55" s="510">
        <f>ROUND($K53*I54,0)</f>
        <v>0</v>
      </c>
      <c r="J55" s="448"/>
      <c r="K55" s="510">
        <f>ROUND($K53*K54,0)</f>
        <v>0</v>
      </c>
      <c r="L55" s="448"/>
      <c r="M55" s="506">
        <f>IF(SUM(E55:K55)&lt;&gt;0,0,0)</f>
        <v>0</v>
      </c>
      <c r="O55"/>
      <c r="P55"/>
      <c r="Q55"/>
      <c r="R55"/>
      <c r="S55"/>
      <c r="T55"/>
      <c r="U55"/>
    </row>
    <row r="56" spans="1:15" ht="17.25">
      <c r="A56" s="504">
        <f t="shared" si="1"/>
        <v>33</v>
      </c>
      <c r="B56" s="505"/>
      <c r="C56" s="448" t="str">
        <f>"Weighted "&amp;C47&amp;" Plant (Ln "&amp;A53&amp;" + "&amp;A55&amp;")"</f>
        <v>Weighted KENTUCKY JURISDICTION Plant (Ln 30 + 32)</v>
      </c>
      <c r="D56" s="448"/>
      <c r="E56" s="506">
        <f>+E53+E55</f>
        <v>0</v>
      </c>
      <c r="F56" s="448"/>
      <c r="G56" s="507">
        <f>+G53+G55</f>
        <v>0</v>
      </c>
      <c r="H56" s="448"/>
      <c r="I56" s="506">
        <f>+I53+I55</f>
        <v>0</v>
      </c>
      <c r="J56" s="448"/>
      <c r="K56" s="506">
        <f>+K53+K55</f>
        <v>0</v>
      </c>
      <c r="L56" s="448"/>
      <c r="M56" s="506">
        <f>SUM(E56:K56)-SUM(E55:K55)</f>
        <v>0</v>
      </c>
      <c r="O56"/>
    </row>
    <row r="57" spans="1:15" ht="18" thickBot="1">
      <c r="A57" s="504">
        <f>+A56+1</f>
        <v>34</v>
      </c>
      <c r="B57" s="505"/>
      <c r="C57" s="448" t="str">
        <f>"Functional Percentage (Ln "&amp;A56&amp;"/Total Ln "&amp;A56&amp;")"</f>
        <v>Functional Percentage (Ln 33/Total Ln 33)</v>
      </c>
      <c r="D57" s="448"/>
      <c r="E57" s="631">
        <f>IF(E56=0,0,+E56/$M$56)</f>
        <v>0</v>
      </c>
      <c r="F57" s="448"/>
      <c r="G57" s="631">
        <v>1</v>
      </c>
      <c r="H57" s="448"/>
      <c r="I57" s="631">
        <f>IF(I56=0,0,+I56/$M$56)</f>
        <v>0</v>
      </c>
      <c r="J57" s="448"/>
      <c r="K57"/>
      <c r="L57" s="448"/>
      <c r="M57" s="506"/>
      <c r="O57"/>
    </row>
    <row r="58" spans="1:15" ht="18" thickBot="1">
      <c r="A58" s="504">
        <f>+A57+1</f>
        <v>35</v>
      </c>
      <c r="B58" s="505"/>
      <c r="C58" s="448" t="str">
        <f>"Functionalized Expense in "&amp;C47&amp;""</f>
        <v>Functionalized Expense in KENTUCKY JURISDICTION</v>
      </c>
      <c r="D58" s="448"/>
      <c r="E58" s="629">
        <f>+E57*M58</f>
        <v>0</v>
      </c>
      <c r="F58" s="448"/>
      <c r="G58" s="629">
        <f>+G57*M58</f>
        <v>0</v>
      </c>
      <c r="H58" s="448"/>
      <c r="I58" s="629">
        <f>+I57*M58</f>
        <v>0</v>
      </c>
      <c r="J58" s="448"/>
      <c r="K58"/>
      <c r="L58" s="448"/>
      <c r="M58" s="635">
        <f>+G19</f>
        <v>0</v>
      </c>
      <c r="O58"/>
    </row>
    <row r="59" spans="1:15" ht="17.25">
      <c r="A59" s="504"/>
      <c r="B59" s="505"/>
      <c r="C59" s="443" t="s">
        <v>1028</v>
      </c>
      <c r="D59" s="448"/>
      <c r="E59" s="506"/>
      <c r="F59" s="448"/>
      <c r="G59" s="506"/>
      <c r="H59" s="448"/>
      <c r="I59" s="506"/>
      <c r="J59" s="448"/>
      <c r="K59" s="507"/>
      <c r="L59" s="448"/>
      <c r="M59" s="506"/>
      <c r="O59"/>
    </row>
    <row r="60" spans="1:15" ht="17.25">
      <c r="A60" s="504">
        <f>+A58+1</f>
        <v>36</v>
      </c>
      <c r="B60" s="505"/>
      <c r="C60" s="448" t="str">
        <f>"Percentage of Plant in "&amp;C59&amp;""</f>
        <v>Percentage of Plant in ____________ JURISDICTION</v>
      </c>
      <c r="D60" s="448"/>
      <c r="E60" s="828"/>
      <c r="F60" s="829"/>
      <c r="G60" s="828"/>
      <c r="H60" s="829"/>
      <c r="I60" s="828"/>
      <c r="J60" s="631"/>
      <c r="K60" s="828"/>
      <c r="L60" s="448"/>
      <c r="M60" s="625"/>
      <c r="O60"/>
    </row>
    <row r="61" spans="1:15" ht="17.25">
      <c r="A61" s="504">
        <f aca="true" t="shared" si="2" ref="A61:A68">+A60+1</f>
        <v>37</v>
      </c>
      <c r="B61" s="505"/>
      <c r="C61" s="785" t="str">
        <f>"Net Plant in "&amp;C59&amp;" (Ln "&amp;A46&amp;" * Ln "&amp;A60&amp;")"</f>
        <v>Net Plant in ____________ JURISDICTION (Ln 24 * Ln 36)</v>
      </c>
      <c r="D61"/>
      <c r="E61" s="506">
        <f>+E60*E46</f>
        <v>0</v>
      </c>
      <c r="F61" s="448"/>
      <c r="G61" s="506">
        <f>+G60*G46</f>
        <v>0</v>
      </c>
      <c r="H61" s="448"/>
      <c r="I61" s="506">
        <f>+I60*I46</f>
        <v>0</v>
      </c>
      <c r="J61" s="448"/>
      <c r="K61" s="506">
        <f>+K60*K46</f>
        <v>0</v>
      </c>
      <c r="L61" s="448"/>
      <c r="M61" s="506">
        <f>SUM(E61:K61)</f>
        <v>0</v>
      </c>
      <c r="O61"/>
    </row>
    <row r="62" spans="1:15" ht="17.25">
      <c r="A62" s="504">
        <f t="shared" si="2"/>
        <v>38</v>
      </c>
      <c r="B62" s="505"/>
      <c r="C62" s="785" t="s">
        <v>744</v>
      </c>
      <c r="D62"/>
      <c r="E62" s="822"/>
      <c r="F62" s="448"/>
      <c r="G62" s="627"/>
      <c r="H62" s="448"/>
      <c r="I62" s="627"/>
      <c r="J62" s="448"/>
      <c r="K62" s="628"/>
      <c r="L62" s="448"/>
      <c r="M62" s="506"/>
      <c r="O62"/>
    </row>
    <row r="63" spans="1:15" ht="17.25">
      <c r="A63" s="504">
        <f t="shared" si="2"/>
        <v>39</v>
      </c>
      <c r="B63" s="505"/>
      <c r="C63" s="448" t="str">
        <f>"Taxable Property Basis (Ln "&amp;A61&amp;" - Ln "&amp;A62&amp;")"</f>
        <v>Taxable Property Basis (Ln 37 - Ln 38)</v>
      </c>
      <c r="D63"/>
      <c r="E63" s="506">
        <f>+E61-E62</f>
        <v>0</v>
      </c>
      <c r="F63" s="448"/>
      <c r="G63" s="506">
        <f>+G61-G62</f>
        <v>0</v>
      </c>
      <c r="H63" s="448"/>
      <c r="I63" s="506">
        <f>+I61-I62</f>
        <v>0</v>
      </c>
      <c r="J63" s="448"/>
      <c r="K63" s="506">
        <f>+K61-K62</f>
        <v>0</v>
      </c>
      <c r="L63" s="448"/>
      <c r="M63" s="506">
        <f>SUM(E63:K63)</f>
        <v>0</v>
      </c>
      <c r="O63"/>
    </row>
    <row r="64" spans="1:15" ht="17.25">
      <c r="A64" s="504">
        <f t="shared" si="2"/>
        <v>40</v>
      </c>
      <c r="B64" s="505"/>
      <c r="C64" s="508" t="s">
        <v>159</v>
      </c>
      <c r="D64"/>
      <c r="E64" s="623"/>
      <c r="F64" s="624"/>
      <c r="G64" s="623"/>
      <c r="H64" s="624"/>
      <c r="I64" s="623"/>
      <c r="J64" s="625"/>
      <c r="K64" s="623"/>
      <c r="L64" s="448"/>
      <c r="M64" s="1068">
        <f>SUM(E64:K64)</f>
        <v>0</v>
      </c>
      <c r="O64"/>
    </row>
    <row r="65" spans="1:15" ht="17.25">
      <c r="A65" s="504">
        <f t="shared" si="2"/>
        <v>41</v>
      </c>
      <c r="B65" s="505"/>
      <c r="C65" s="785" t="str">
        <f>"Weighted Net Plant (Ln "&amp;A63&amp;" * Ln "&amp;A64&amp;")"</f>
        <v>Weighted Net Plant (Ln 39 * Ln 40)</v>
      </c>
      <c r="D65"/>
      <c r="E65" s="506">
        <f>+E63*E64</f>
        <v>0</v>
      </c>
      <c r="F65" s="448"/>
      <c r="G65" s="506">
        <f>+G63*G64</f>
        <v>0</v>
      </c>
      <c r="H65" s="448"/>
      <c r="I65" s="506">
        <f>+I63*I64</f>
        <v>0</v>
      </c>
      <c r="J65" s="448"/>
      <c r="K65" s="506">
        <f>+K63*K64</f>
        <v>0</v>
      </c>
      <c r="L65" s="448"/>
      <c r="M65" s="506"/>
      <c r="O65"/>
    </row>
    <row r="66" spans="1:15" ht="17.25">
      <c r="A66" s="504">
        <f t="shared" si="2"/>
        <v>42</v>
      </c>
      <c r="B66" s="505"/>
      <c r="C66" s="448" t="str">
        <f>+"General Plant Allocator (Ln "&amp;A65&amp;" / (Total - General Plant))"</f>
        <v>General Plant Allocator (Ln 41 / (Total - General Plant))</v>
      </c>
      <c r="D66" s="448"/>
      <c r="E66" s="509">
        <f>IF(E64=0,0,+E65/($E65+$G65+$I65))</f>
        <v>0</v>
      </c>
      <c r="F66" s="448"/>
      <c r="G66" s="509">
        <v>1</v>
      </c>
      <c r="H66" s="448"/>
      <c r="I66" s="509">
        <f>IF(I64=0,0,+I65/($E65+$G65+$I65))</f>
        <v>0</v>
      </c>
      <c r="J66" s="448"/>
      <c r="K66" s="509">
        <v>-1</v>
      </c>
      <c r="L66" s="448"/>
      <c r="M66" s="448"/>
      <c r="O66"/>
    </row>
    <row r="67" spans="1:15" ht="17.25">
      <c r="A67" s="504">
        <f t="shared" si="2"/>
        <v>43</v>
      </c>
      <c r="B67" s="505"/>
      <c r="C67" s="448" t="str">
        <f>"Functionalized General Plant (Ln "&amp;A66&amp;" * General Plant)"</f>
        <v>Functionalized General Plant (Ln 42 * General Plant)</v>
      </c>
      <c r="D67" s="448"/>
      <c r="E67" s="510">
        <f>ROUND($K65*E66,0)</f>
        <v>0</v>
      </c>
      <c r="F67" s="448"/>
      <c r="G67" s="510">
        <f>+G66*K65</f>
        <v>0</v>
      </c>
      <c r="H67" s="448"/>
      <c r="I67" s="510">
        <f>ROUND($K65*I66,0)</f>
        <v>0</v>
      </c>
      <c r="J67" s="448"/>
      <c r="K67" s="510">
        <f>ROUND($K65*K66,0)</f>
        <v>0</v>
      </c>
      <c r="L67" s="448"/>
      <c r="M67" s="506">
        <f>IF(SUM(E67:K67)&lt;&gt;0,0,0)</f>
        <v>0</v>
      </c>
      <c r="O67"/>
    </row>
    <row r="68" spans="1:15" ht="17.25">
      <c r="A68" s="504">
        <f t="shared" si="2"/>
        <v>44</v>
      </c>
      <c r="B68" s="505"/>
      <c r="C68" s="448" t="str">
        <f>"Weighted "&amp;C59&amp;" Plant (Ln "&amp;A65&amp;" + "&amp;A67&amp;")"</f>
        <v>Weighted ____________ JURISDICTION Plant (Ln 41 + 43)</v>
      </c>
      <c r="D68" s="448"/>
      <c r="E68" s="506">
        <f>+E65+E67</f>
        <v>0</v>
      </c>
      <c r="F68" s="448"/>
      <c r="G68" s="507">
        <f>+G65+G67</f>
        <v>0</v>
      </c>
      <c r="H68" s="448"/>
      <c r="I68" s="506">
        <f>+I65+I67</f>
        <v>0</v>
      </c>
      <c r="J68" s="448"/>
      <c r="K68" s="506">
        <f>+K65+K67</f>
        <v>0</v>
      </c>
      <c r="L68" s="448"/>
      <c r="M68" s="506">
        <f>SUM(E68:K68)-SUM(E67:K67)</f>
        <v>0</v>
      </c>
      <c r="O68"/>
    </row>
    <row r="69" spans="1:15" ht="18" thickBot="1">
      <c r="A69" s="504">
        <f>+A68+1</f>
        <v>45</v>
      </c>
      <c r="B69" s="505"/>
      <c r="C69" s="448" t="str">
        <f>"Functional Percentage (Ln "&amp;A68&amp;"/Total Ln "&amp;A68&amp;")"</f>
        <v>Functional Percentage (Ln 44/Total Ln 44)</v>
      </c>
      <c r="D69" s="448"/>
      <c r="E69" s="631">
        <f>IF(E68=0,0,+E68/$M$68)</f>
        <v>0</v>
      </c>
      <c r="F69" s="448"/>
      <c r="G69" s="631">
        <v>1</v>
      </c>
      <c r="H69" s="448"/>
      <c r="I69" s="631">
        <f>IF(I68=0,0,+I68/$M$68)</f>
        <v>0</v>
      </c>
      <c r="J69" s="448"/>
      <c r="K69"/>
      <c r="L69" s="448"/>
      <c r="M69" s="506"/>
      <c r="O69"/>
    </row>
    <row r="70" spans="1:15" ht="18" thickBot="1">
      <c r="A70" s="504">
        <f>+A69+1</f>
        <v>46</v>
      </c>
      <c r="B70" s="505"/>
      <c r="C70" s="448" t="str">
        <f>"Functionalized Expense in "&amp;C59&amp;""</f>
        <v>Functionalized Expense in ____________ JURISDICTION</v>
      </c>
      <c r="D70" s="448"/>
      <c r="E70" s="629">
        <f>+E69*M70</f>
        <v>0</v>
      </c>
      <c r="F70" s="448"/>
      <c r="G70" s="629">
        <f>+G69*M70</f>
        <v>0</v>
      </c>
      <c r="H70" s="448"/>
      <c r="I70" s="629">
        <f>+I69*M70</f>
        <v>0</v>
      </c>
      <c r="J70" s="448"/>
      <c r="K70"/>
      <c r="L70" s="448"/>
      <c r="M70" s="635">
        <f>+G18</f>
        <v>0</v>
      </c>
      <c r="O70"/>
    </row>
    <row r="71" spans="1:15" ht="17.25">
      <c r="A71" s="504"/>
      <c r="B71" s="505"/>
      <c r="C71" s="630" t="s">
        <v>1028</v>
      </c>
      <c r="D71" s="448"/>
      <c r="E71" s="506"/>
      <c r="F71" s="448"/>
      <c r="G71" s="633"/>
      <c r="H71" s="448"/>
      <c r="I71" s="506"/>
      <c r="J71" s="448"/>
      <c r="K71" s="631"/>
      <c r="L71" s="448"/>
      <c r="M71" s="506"/>
      <c r="O71"/>
    </row>
    <row r="72" spans="1:15" ht="17.25">
      <c r="A72" s="504">
        <f>+A70+1</f>
        <v>47</v>
      </c>
      <c r="B72" s="505"/>
      <c r="C72" s="785" t="str">
        <f>"Net Plant in "&amp;C71&amp;" (Ln "&amp;A46&amp;" - Ln "&amp;A49&amp;" - Ln "&amp;A61&amp;")"</f>
        <v>Net Plant in ____________ JURISDICTION (Ln 24 - Ln 26 - Ln 37)</v>
      </c>
      <c r="D72" s="448"/>
      <c r="E72" s="506">
        <f>+E46-E49-E61</f>
        <v>0</v>
      </c>
      <c r="F72" s="448"/>
      <c r="G72" s="506">
        <f>+G46-G49-G61</f>
        <v>0</v>
      </c>
      <c r="H72" s="448"/>
      <c r="I72" s="506">
        <f>+I46-I49-I61</f>
        <v>0</v>
      </c>
      <c r="J72" s="448"/>
      <c r="K72" s="506">
        <f>+K46-K49-K61</f>
        <v>0</v>
      </c>
      <c r="L72" s="448"/>
      <c r="M72" s="506">
        <f>SUM(E72:K72)</f>
        <v>0</v>
      </c>
      <c r="O72"/>
    </row>
    <row r="73" spans="1:15" ht="17.25">
      <c r="A73" s="504">
        <f aca="true" t="shared" si="3" ref="A73:A79">+A72+1</f>
        <v>48</v>
      </c>
      <c r="B73" s="505"/>
      <c r="C73" s="785" t="s">
        <v>743</v>
      </c>
      <c r="D73" s="448"/>
      <c r="E73" s="626"/>
      <c r="F73" s="448"/>
      <c r="G73" s="627"/>
      <c r="H73" s="448"/>
      <c r="I73" s="627"/>
      <c r="J73" s="448"/>
      <c r="K73" s="628"/>
      <c r="L73" s="448"/>
      <c r="M73" s="506"/>
      <c r="O73"/>
    </row>
    <row r="74" spans="1:15" ht="17.25">
      <c r="A74" s="504">
        <f t="shared" si="3"/>
        <v>49</v>
      </c>
      <c r="B74" s="505"/>
      <c r="C74" s="448" t="s">
        <v>160</v>
      </c>
      <c r="D74" s="448"/>
      <c r="E74" s="506">
        <f>+E72-E73</f>
        <v>0</v>
      </c>
      <c r="F74" s="448"/>
      <c r="G74" s="506">
        <f>+G72-G73</f>
        <v>0</v>
      </c>
      <c r="H74" s="448"/>
      <c r="I74" s="506">
        <f>+I72-I73</f>
        <v>0</v>
      </c>
      <c r="J74" s="448"/>
      <c r="K74" s="506">
        <f>+K72-K73</f>
        <v>0</v>
      </c>
      <c r="L74" s="448"/>
      <c r="M74" s="506">
        <f>SUM(E74:K74)</f>
        <v>0</v>
      </c>
      <c r="O74"/>
    </row>
    <row r="75" spans="1:15" ht="17.25">
      <c r="A75" s="504">
        <f t="shared" si="3"/>
        <v>50</v>
      </c>
      <c r="B75" s="505"/>
      <c r="C75" s="508" t="s">
        <v>159</v>
      </c>
      <c r="D75" s="448"/>
      <c r="E75" s="623"/>
      <c r="F75" s="624"/>
      <c r="G75" s="623"/>
      <c r="H75" s="624"/>
      <c r="I75" s="623"/>
      <c r="J75" s="625"/>
      <c r="K75" s="623"/>
      <c r="L75" s="448"/>
      <c r="M75" s="506"/>
      <c r="O75"/>
    </row>
    <row r="76" spans="1:15" ht="17.25">
      <c r="A76" s="504">
        <f t="shared" si="3"/>
        <v>51</v>
      </c>
      <c r="B76" s="505"/>
      <c r="C76" s="448" t="str">
        <f>"Weighted Net Plant (Ln "&amp;A74&amp;" * Ln "&amp;A75&amp;")"</f>
        <v>Weighted Net Plant (Ln 49 * Ln 50)</v>
      </c>
      <c r="D76" s="448"/>
      <c r="E76" s="506">
        <f>+E74*E75</f>
        <v>0</v>
      </c>
      <c r="F76" s="448"/>
      <c r="G76" s="506">
        <f>+G74*G75</f>
        <v>0</v>
      </c>
      <c r="H76" s="448"/>
      <c r="I76" s="506">
        <f>+I74*I75</f>
        <v>0</v>
      </c>
      <c r="J76" s="448"/>
      <c r="K76" s="506">
        <f>+K74*K75</f>
        <v>0</v>
      </c>
      <c r="L76" s="448"/>
      <c r="M76" s="506"/>
      <c r="O76"/>
    </row>
    <row r="77" spans="1:15" ht="17.25">
      <c r="A77" s="504">
        <f t="shared" si="3"/>
        <v>52</v>
      </c>
      <c r="B77" s="505"/>
      <c r="C77" s="448" t="str">
        <f>+"General Plant Allocator (Ln "&amp;A76&amp;" / (Total - General Plant)"</f>
        <v>General Plant Allocator (Ln 51 / (Total - General Plant)</v>
      </c>
      <c r="D77" s="448"/>
      <c r="E77" s="509">
        <f>IF(E75=0,0,+E76/($E76+$G76+$I76))</f>
        <v>0</v>
      </c>
      <c r="F77" s="448"/>
      <c r="G77" s="509">
        <v>1</v>
      </c>
      <c r="H77" s="448"/>
      <c r="I77" s="509">
        <f>IF(I75=0,0,+I76/($E76+$G76+$I76))</f>
        <v>0</v>
      </c>
      <c r="J77" s="448"/>
      <c r="K77" s="509">
        <v>-1</v>
      </c>
      <c r="L77" s="448"/>
      <c r="M77" s="506"/>
      <c r="O77"/>
    </row>
    <row r="78" spans="1:15" ht="17.25">
      <c r="A78" s="504">
        <f t="shared" si="3"/>
        <v>53</v>
      </c>
      <c r="B78" s="505"/>
      <c r="C78" s="448" t="str">
        <f>"Functionalized General Plant (Ln "&amp;A78&amp;" * General Plant)"</f>
        <v>Functionalized General Plant (Ln 53 * General Plant)</v>
      </c>
      <c r="D78" s="448"/>
      <c r="E78" s="510">
        <f>ROUND($K76*E77,0)</f>
        <v>0</v>
      </c>
      <c r="F78" s="448"/>
      <c r="G78" s="510">
        <f>ROUND($K76*G77,0)</f>
        <v>0</v>
      </c>
      <c r="H78" s="448"/>
      <c r="I78" s="510">
        <f>ROUND($K76*I77,0)</f>
        <v>0</v>
      </c>
      <c r="J78" s="448"/>
      <c r="K78" s="510">
        <f>ROUND($K76*K77,0)</f>
        <v>0</v>
      </c>
      <c r="L78" s="448"/>
      <c r="M78" s="506"/>
      <c r="O78"/>
    </row>
    <row r="79" spans="1:15" ht="17.25">
      <c r="A79" s="504">
        <f t="shared" si="3"/>
        <v>54</v>
      </c>
      <c r="B79" s="505"/>
      <c r="C79" s="448" t="str">
        <f>"Weighted "&amp;C71&amp;" Plant (Ln "&amp;A76&amp;" + "&amp;A78&amp;")"</f>
        <v>Weighted ____________ JURISDICTION Plant (Ln 51 + 53)</v>
      </c>
      <c r="D79" s="448"/>
      <c r="E79" s="506">
        <f>+E76+E78</f>
        <v>0</v>
      </c>
      <c r="F79" s="448"/>
      <c r="G79" s="507">
        <f>+G76+G78</f>
        <v>0</v>
      </c>
      <c r="H79" s="448"/>
      <c r="I79" s="506">
        <f>+I76+I78</f>
        <v>0</v>
      </c>
      <c r="J79" s="448"/>
      <c r="K79" s="506">
        <f>+K76+K78</f>
        <v>0</v>
      </c>
      <c r="L79" s="448"/>
      <c r="M79" s="506">
        <f>SUM(E79:K79)-SUM(E78:K78)</f>
        <v>0</v>
      </c>
      <c r="O79"/>
    </row>
    <row r="80" spans="1:15" ht="18" thickBot="1">
      <c r="A80" s="504">
        <f>+A79+1</f>
        <v>55</v>
      </c>
      <c r="B80" s="505"/>
      <c r="C80" s="448" t="str">
        <f>"Functional Percentage (Ln "&amp;A79&amp;"/Total Ln "&amp;A79&amp;")"</f>
        <v>Functional Percentage (Ln 54/Total Ln 54)</v>
      </c>
      <c r="D80" s="448"/>
      <c r="E80" s="631">
        <f>IF(E79=0,0,+E79/$M$79)</f>
        <v>0</v>
      </c>
      <c r="F80" s="448"/>
      <c r="G80" s="631">
        <v>1</v>
      </c>
      <c r="H80" s="448"/>
      <c r="I80" s="631">
        <f>IF(I79=0,0,+I79/$M$79)</f>
        <v>0</v>
      </c>
      <c r="J80"/>
      <c r="K80"/>
      <c r="L80" s="448"/>
      <c r="M80" s="506"/>
      <c r="O80"/>
    </row>
    <row r="81" spans="1:15" ht="18" thickBot="1">
      <c r="A81" s="504">
        <f>+A80+1</f>
        <v>56</v>
      </c>
      <c r="B81" s="505"/>
      <c r="C81" s="448" t="str">
        <f>"Functionalized Expense in "&amp;C71&amp;""</f>
        <v>Functionalized Expense in ____________ JURISDICTION</v>
      </c>
      <c r="D81" s="448"/>
      <c r="E81" s="629">
        <f>+E80*M81</f>
        <v>0</v>
      </c>
      <c r="F81" s="448"/>
      <c r="G81" s="629">
        <f>+G80*M81</f>
        <v>0</v>
      </c>
      <c r="H81" s="448"/>
      <c r="I81" s="629">
        <f>+I80*M81</f>
        <v>0</v>
      </c>
      <c r="J81"/>
      <c r="K81"/>
      <c r="L81" s="448"/>
      <c r="M81" s="635">
        <f>+G20</f>
        <v>0</v>
      </c>
      <c r="O81"/>
    </row>
    <row r="82" spans="1:15" ht="18" thickBot="1">
      <c r="A82" s="504"/>
      <c r="B82" s="505"/>
      <c r="C82" s="448"/>
      <c r="D82" s="448"/>
      <c r="E82" s="622"/>
      <c r="F82" s="448"/>
      <c r="G82" s="622"/>
      <c r="H82" s="448"/>
      <c r="I82" s="622"/>
      <c r="J82"/>
      <c r="K82"/>
      <c r="L82" s="448"/>
      <c r="M82" s="506"/>
      <c r="O82"/>
    </row>
    <row r="83" spans="1:15" ht="18" thickBot="1">
      <c r="A83" s="504">
        <f>+A81+1</f>
        <v>57</v>
      </c>
      <c r="B83" s="505"/>
      <c r="C83" s="448" t="str">
        <f>"Total Other Jurisdictions: (Line "&amp;A21&amp;" * Net Plant Allocator)"</f>
        <v>Total Other Jurisdictions: (Line 7 * Net Plant Allocator)</v>
      </c>
      <c r="D83" s="448"/>
      <c r="E83" s="622"/>
      <c r="F83" s="448"/>
      <c r="G83" s="622">
        <f>+M83*NP_h</f>
        <v>0</v>
      </c>
      <c r="H83" s="448"/>
      <c r="I83" s="622"/>
      <c r="J83" s="448"/>
      <c r="K83" s="622"/>
      <c r="L83" s="448"/>
      <c r="M83" s="635">
        <f>+G21</f>
        <v>0</v>
      </c>
      <c r="O83"/>
    </row>
    <row r="84" spans="1:15" ht="17.25">
      <c r="A84" s="504"/>
      <c r="B84" s="505"/>
      <c r="C84" s="448"/>
      <c r="D84" s="448"/>
      <c r="E84" s="506"/>
      <c r="F84"/>
      <c r="G84" s="507"/>
      <c r="H84"/>
      <c r="I84" s="631"/>
      <c r="J84"/>
      <c r="K84" s="506"/>
      <c r="L84" s="448"/>
      <c r="M84" s="506"/>
      <c r="O84"/>
    </row>
    <row r="85" spans="1:15" ht="18" thickBot="1">
      <c r="A85" s="504">
        <f>+A83+1</f>
        <v>58</v>
      </c>
      <c r="B85" s="505"/>
      <c r="C85" s="448" t="str">
        <f>"Total Func. Property Taxes (Sum Lns "&amp;A58&amp;", "&amp;A70&amp;" "&amp;A81&amp;", "&amp;A83&amp;")"</f>
        <v>Total Func. Property Taxes (Sum Lns 35, 46 56, 57)</v>
      </c>
      <c r="D85" s="448"/>
      <c r="E85" s="632">
        <f>+E83+E81+E70+E58</f>
        <v>0</v>
      </c>
      <c r="F85"/>
      <c r="G85" s="632">
        <f>+G83+G81+G70+G58</f>
        <v>0</v>
      </c>
      <c r="H85"/>
      <c r="I85" s="632">
        <f>+I83+I81+I70+I58</f>
        <v>0</v>
      </c>
      <c r="J85"/>
      <c r="K85"/>
      <c r="L85" s="448"/>
      <c r="M85" s="632">
        <f>+M83+M81+M70+M58</f>
        <v>0</v>
      </c>
      <c r="O85"/>
    </row>
    <row r="86" spans="1:15" ht="18" thickTop="1">
      <c r="A86" s="504"/>
      <c r="B86" s="505"/>
      <c r="C86" s="448"/>
      <c r="D86" s="448"/>
      <c r="E86" s="508"/>
      <c r="F86" s="508"/>
      <c r="G86" s="508"/>
      <c r="H86" s="508"/>
      <c r="I86" s="508"/>
      <c r="J86" s="448"/>
      <c r="K86" s="622"/>
      <c r="L86" s="448"/>
      <c r="M86" s="508"/>
      <c r="O86"/>
    </row>
    <row r="87" spans="1:15" ht="17.25">
      <c r="A87" s="504"/>
      <c r="B87" s="505"/>
      <c r="D87" s="448"/>
      <c r="E87" s="622"/>
      <c r="F87" s="448"/>
      <c r="G87" s="622"/>
      <c r="H87" s="448"/>
      <c r="I87" s="622"/>
      <c r="J87" s="448"/>
      <c r="K87" s="622"/>
      <c r="L87" s="448"/>
      <c r="M87" s="508"/>
      <c r="O87"/>
    </row>
    <row r="88" ht="12.75">
      <c r="O88"/>
    </row>
    <row r="89" ht="12.75">
      <c r="O89"/>
    </row>
    <row r="90" spans="7:15" ht="12.75">
      <c r="G90" s="641"/>
      <c r="O90"/>
    </row>
    <row r="231" ht="15" thickBot="1"/>
    <row r="232" ht="16.5" thickBot="1">
      <c r="G232" s="511" t="e">
        <f>IF(#REF!&lt;&gt;0,+#REF!/#REF!*#REF!,0)</f>
        <v>#REF!</v>
      </c>
    </row>
  </sheetData>
  <sheetProtection/>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3.xml><?xml version="1.0" encoding="utf-8"?>
<worksheet xmlns="http://schemas.openxmlformats.org/spreadsheetml/2006/main" xmlns:r="http://schemas.openxmlformats.org/officeDocument/2006/relationships">
  <sheetPr>
    <pageSetUpPr fitToPage="1"/>
  </sheetPr>
  <dimension ref="A1:T110"/>
  <sheetViews>
    <sheetView zoomScale="60" zoomScaleNormal="60" zoomScalePageLayoutView="0" workbookViewId="0" topLeftCell="A49">
      <selection activeCell="F74" sqref="F74:F75"/>
    </sheetView>
  </sheetViews>
  <sheetFormatPr defaultColWidth="9.140625" defaultRowHeight="12.75"/>
  <cols>
    <col min="1" max="1" width="7.28125" style="449" customWidth="1"/>
    <col min="2" max="2" width="1.7109375" style="450" customWidth="1"/>
    <col min="3" max="3" width="62.421875" style="450" customWidth="1"/>
    <col min="4" max="4" width="19.140625" style="450" customWidth="1"/>
    <col min="5" max="5" width="20.421875" style="444" customWidth="1"/>
    <col min="6" max="6" width="20.421875" style="435" bestFit="1" customWidth="1"/>
    <col min="7" max="7" width="35.7109375" style="435" bestFit="1" customWidth="1"/>
    <col min="8" max="16384" width="9.140625" style="435" customWidth="1"/>
  </cols>
  <sheetData>
    <row r="1" spans="1:7" ht="18.75" customHeight="1">
      <c r="A1" s="1207" t="str">
        <f>'Historic TCOS'!$F$3</f>
        <v>AEPTCo subsidiaries in PJM</v>
      </c>
      <c r="B1" s="1207" t="str">
        <f>'Historic TCOS'!$F$3</f>
        <v>AEPTCo subsidiaries in PJM</v>
      </c>
      <c r="C1" s="1207" t="str">
        <f>'Historic TCOS'!$F$3</f>
        <v>AEPTCo subsidiaries in PJM</v>
      </c>
      <c r="D1" s="1207" t="str">
        <f>'Historic TCOS'!$F$3</f>
        <v>AEPTCo subsidiaries in PJM</v>
      </c>
      <c r="E1" s="1207" t="str">
        <f>'Historic TCOS'!$F$3</f>
        <v>AEPTCo subsidiaries in PJM</v>
      </c>
      <c r="F1" s="1223"/>
      <c r="G1" s="1223"/>
    </row>
    <row r="2" spans="1:13" ht="18.75" customHeight="1">
      <c r="A2" s="1207" t="str">
        <f>"Cost of Service Formula Rate Using "&amp;'Historic TCOS'!O1&amp;" FF1 Balances"</f>
        <v>Cost of Service Formula Rate Using 2014 FF1 Balances</v>
      </c>
      <c r="B2" s="1207"/>
      <c r="C2" s="1207"/>
      <c r="D2" s="1207"/>
      <c r="E2" s="1207"/>
      <c r="F2" s="1223"/>
      <c r="G2" s="1223"/>
      <c r="H2" s="1207"/>
      <c r="I2" s="1207"/>
      <c r="J2" s="1207"/>
      <c r="K2" s="1207"/>
      <c r="L2" s="1207"/>
      <c r="M2" s="1223"/>
    </row>
    <row r="3" spans="1:7" ht="18.75" customHeight="1">
      <c r="A3" s="1206" t="s">
        <v>174</v>
      </c>
      <c r="B3" s="1206"/>
      <c r="C3" s="1206"/>
      <c r="D3" s="1206"/>
      <c r="E3" s="1206"/>
      <c r="F3" s="1223"/>
      <c r="G3" s="1223"/>
    </row>
    <row r="4" spans="1:13" ht="18" customHeight="1">
      <c r="A4" s="1222" t="str">
        <f>+'Historic TCOS'!F7</f>
        <v>AEP KENTUCKY TRANSMISSION COMPANY</v>
      </c>
      <c r="B4" s="1222"/>
      <c r="C4" s="1222"/>
      <c r="D4" s="1222"/>
      <c r="E4" s="1222"/>
      <c r="F4" s="1170"/>
      <c r="G4" s="1170"/>
      <c r="H4" s="1016"/>
      <c r="I4" s="1016"/>
      <c r="J4" s="1016"/>
      <c r="K4" s="1016"/>
      <c r="L4" s="1016"/>
      <c r="M4" s="1016"/>
    </row>
    <row r="5" spans="1:6" ht="18" customHeight="1">
      <c r="A5" s="513"/>
      <c r="B5" s="513"/>
      <c r="C5" s="513"/>
      <c r="D5" s="513"/>
      <c r="E5" s="513"/>
      <c r="F5" s="513"/>
    </row>
    <row r="6" spans="1:7" ht="19.5" customHeight="1">
      <c r="A6" s="437"/>
      <c r="B6" s="438"/>
      <c r="C6" s="168" t="s">
        <v>601</v>
      </c>
      <c r="E6" s="168" t="s">
        <v>602</v>
      </c>
      <c r="F6" s="848" t="s">
        <v>603</v>
      </c>
      <c r="G6" s="848" t="s">
        <v>604</v>
      </c>
    </row>
    <row r="7" spans="1:20" ht="17.25">
      <c r="A7" s="595"/>
      <c r="B7" s="596"/>
      <c r="C7" s="596"/>
      <c r="D7" s="596"/>
      <c r="E7"/>
      <c r="F7" s="134"/>
      <c r="G7" s="849"/>
      <c r="H7" s="171"/>
      <c r="I7" s="171"/>
      <c r="J7" s="171"/>
      <c r="K7" s="171"/>
      <c r="L7" s="171"/>
      <c r="M7" s="171"/>
      <c r="N7" s="171"/>
      <c r="O7" s="171"/>
      <c r="P7" s="171"/>
      <c r="Q7" s="171"/>
      <c r="R7" s="171"/>
      <c r="S7" s="171"/>
      <c r="T7" s="171"/>
    </row>
    <row r="8" spans="1:7" ht="17.25">
      <c r="A8" s="595" t="s">
        <v>608</v>
      </c>
      <c r="B8" s="596"/>
      <c r="C8" s="596"/>
      <c r="D8" s="596"/>
      <c r="E8" s="597" t="s">
        <v>559</v>
      </c>
      <c r="F8" s="850" t="s">
        <v>762</v>
      </c>
      <c r="G8" s="851"/>
    </row>
    <row r="9" spans="1:7" ht="17.25">
      <c r="A9" s="599" t="s">
        <v>558</v>
      </c>
      <c r="B9" s="852"/>
      <c r="C9" s="599" t="s">
        <v>201</v>
      </c>
      <c r="D9" s="852"/>
      <c r="E9" s="600" t="s">
        <v>642</v>
      </c>
      <c r="F9" s="599" t="s">
        <v>763</v>
      </c>
      <c r="G9" s="600" t="s">
        <v>764</v>
      </c>
    </row>
    <row r="10" spans="1:7" ht="17.25">
      <c r="A10" s="439"/>
      <c r="B10" s="438"/>
      <c r="C10" s="434"/>
      <c r="D10" s="434"/>
      <c r="E10" s="434"/>
      <c r="F10" s="850"/>
      <c r="G10" s="853"/>
    </row>
    <row r="11" spans="1:6" ht="17.25">
      <c r="A11" s="437">
        <v>1</v>
      </c>
      <c r="B11" s="438"/>
      <c r="C11" s="441" t="s">
        <v>946</v>
      </c>
      <c r="D11" s="438"/>
      <c r="E11" s="433"/>
      <c r="F11" s="436"/>
    </row>
    <row r="12" spans="1:7" ht="17.25">
      <c r="A12" s="437">
        <f>+A11+1</f>
        <v>2</v>
      </c>
      <c r="B12" s="438"/>
      <c r="C12" s="433" t="s">
        <v>931</v>
      </c>
      <c r="D12" s="438"/>
      <c r="E12" s="861">
        <f>SUM(F13:F15)</f>
        <v>-765</v>
      </c>
      <c r="F12" s="448"/>
      <c r="G12" s="854"/>
    </row>
    <row r="13" spans="1:7" ht="17.25">
      <c r="A13" s="437"/>
      <c r="B13" s="438"/>
      <c r="C13" s="433"/>
      <c r="D13" s="438"/>
      <c r="E13" s="855"/>
      <c r="F13" s="1108">
        <v>180</v>
      </c>
      <c r="G13" s="856" t="s">
        <v>1037</v>
      </c>
    </row>
    <row r="14" spans="1:7" ht="17.25">
      <c r="A14" s="437"/>
      <c r="B14" s="438"/>
      <c r="C14" s="433"/>
      <c r="D14" s="438"/>
      <c r="E14" s="855"/>
      <c r="F14" s="1108">
        <v>-945</v>
      </c>
      <c r="G14" s="856" t="s">
        <v>781</v>
      </c>
    </row>
    <row r="15" spans="1:7" ht="17.25">
      <c r="A15" s="437"/>
      <c r="B15" s="438"/>
      <c r="C15" s="433"/>
      <c r="D15" s="438"/>
      <c r="E15" s="855"/>
      <c r="F15" s="1108"/>
      <c r="G15" s="856" t="s">
        <v>765</v>
      </c>
    </row>
    <row r="16" spans="1:7" ht="17.25">
      <c r="A16" s="437">
        <f>+A12+1</f>
        <v>3</v>
      </c>
      <c r="B16" s="438"/>
      <c r="C16" s="441" t="s">
        <v>947</v>
      </c>
      <c r="D16" s="438"/>
      <c r="E16" s="862"/>
      <c r="F16" s="855"/>
      <c r="G16" s="448"/>
    </row>
    <row r="17" spans="1:7" ht="17.25">
      <c r="A17" s="437">
        <f>+A16+1</f>
        <v>4</v>
      </c>
      <c r="B17" s="438"/>
      <c r="C17" s="436" t="s">
        <v>1027</v>
      </c>
      <c r="D17" s="436"/>
      <c r="E17" s="861">
        <f>SUM(F18:F23)</f>
        <v>0</v>
      </c>
      <c r="F17" s="855"/>
      <c r="G17" s="448"/>
    </row>
    <row r="18" spans="1:7" ht="17.25">
      <c r="A18" s="437"/>
      <c r="B18" s="438"/>
      <c r="C18" s="436"/>
      <c r="D18" s="436"/>
      <c r="E18" s="861"/>
      <c r="F18" s="1108"/>
      <c r="G18" s="856" t="s">
        <v>766</v>
      </c>
    </row>
    <row r="19" spans="1:7" ht="17.25">
      <c r="A19" s="437"/>
      <c r="B19" s="438"/>
      <c r="C19" s="436"/>
      <c r="D19" s="436"/>
      <c r="E19" s="861"/>
      <c r="F19" s="1108"/>
      <c r="G19" s="856" t="s">
        <v>767</v>
      </c>
    </row>
    <row r="20" spans="1:7" ht="17.25">
      <c r="A20" s="437"/>
      <c r="B20" s="438"/>
      <c r="C20" s="436"/>
      <c r="D20" s="436"/>
      <c r="E20" s="861"/>
      <c r="F20" s="1108"/>
      <c r="G20" s="856" t="s">
        <v>768</v>
      </c>
    </row>
    <row r="21" spans="1:7" ht="17.25">
      <c r="A21" s="437"/>
      <c r="B21" s="438"/>
      <c r="C21" s="436"/>
      <c r="D21" s="436"/>
      <c r="E21" s="861"/>
      <c r="F21" s="1108"/>
      <c r="G21" s="856" t="s">
        <v>769</v>
      </c>
    </row>
    <row r="22" spans="1:7" ht="17.25">
      <c r="A22" s="437"/>
      <c r="B22" s="438"/>
      <c r="C22" s="436"/>
      <c r="D22" s="436"/>
      <c r="E22" s="861"/>
      <c r="F22" s="1108"/>
      <c r="G22" s="856" t="s">
        <v>770</v>
      </c>
    </row>
    <row r="23" spans="1:7" ht="17.25">
      <c r="A23" s="437"/>
      <c r="B23" s="438"/>
      <c r="C23" s="436"/>
      <c r="D23" s="436"/>
      <c r="E23" s="861"/>
      <c r="F23" s="1108"/>
      <c r="G23" s="856" t="s">
        <v>771</v>
      </c>
    </row>
    <row r="24" spans="1:7" ht="17.25">
      <c r="A24" s="437">
        <f>+A17+1</f>
        <v>5</v>
      </c>
      <c r="B24" s="438"/>
      <c r="C24" s="436" t="s">
        <v>1032</v>
      </c>
      <c r="D24" s="436"/>
      <c r="E24" s="861">
        <f>SUM(F25:F30)</f>
        <v>0</v>
      </c>
      <c r="F24" s="508"/>
      <c r="G24" s="448"/>
    </row>
    <row r="25" spans="1:7" ht="17.25">
      <c r="A25" s="437"/>
      <c r="B25" s="438"/>
      <c r="C25" s="436"/>
      <c r="D25" s="436"/>
      <c r="E25" s="861"/>
      <c r="F25" s="1108"/>
      <c r="G25" s="856" t="s">
        <v>772</v>
      </c>
    </row>
    <row r="26" spans="1:7" ht="17.25">
      <c r="A26" s="437"/>
      <c r="B26" s="438"/>
      <c r="C26" s="436"/>
      <c r="D26" s="436"/>
      <c r="E26" s="861"/>
      <c r="F26" s="1108"/>
      <c r="G26" s="856" t="s">
        <v>773</v>
      </c>
    </row>
    <row r="27" spans="1:7" ht="17.25">
      <c r="A27" s="437"/>
      <c r="B27" s="438"/>
      <c r="C27" s="436"/>
      <c r="D27" s="436"/>
      <c r="E27" s="861"/>
      <c r="F27" s="1108"/>
      <c r="G27" s="856" t="s">
        <v>774</v>
      </c>
    </row>
    <row r="28" spans="1:7" ht="17.25">
      <c r="A28" s="437"/>
      <c r="B28" s="438"/>
      <c r="C28" s="436"/>
      <c r="D28" s="436"/>
      <c r="E28" s="861"/>
      <c r="F28" s="1108"/>
      <c r="G28" s="856" t="s">
        <v>775</v>
      </c>
    </row>
    <row r="29" spans="1:7" ht="17.25">
      <c r="A29" s="437"/>
      <c r="B29" s="438"/>
      <c r="C29" s="436"/>
      <c r="D29" s="436"/>
      <c r="E29" s="861"/>
      <c r="F29" s="1108"/>
      <c r="G29" s="856" t="s">
        <v>776</v>
      </c>
    </row>
    <row r="30" spans="1:7" ht="17.25">
      <c r="A30" s="437"/>
      <c r="B30" s="438"/>
      <c r="C30" s="436"/>
      <c r="D30" s="436"/>
      <c r="E30" s="861"/>
      <c r="F30" s="1108"/>
      <c r="G30" s="856" t="s">
        <v>777</v>
      </c>
    </row>
    <row r="31" spans="1:6" ht="17.25">
      <c r="A31" s="437">
        <f>+A24+1</f>
        <v>6</v>
      </c>
      <c r="B31" s="438"/>
      <c r="C31" s="436" t="s">
        <v>1032</v>
      </c>
      <c r="D31" s="436"/>
      <c r="E31" s="861">
        <f>+F32+F33</f>
        <v>0</v>
      </c>
      <c r="F31" s="448"/>
    </row>
    <row r="32" spans="1:7" ht="17.25">
      <c r="A32" s="437"/>
      <c r="B32" s="438"/>
      <c r="C32" s="436"/>
      <c r="D32" s="436"/>
      <c r="E32" s="861"/>
      <c r="F32" s="1108"/>
      <c r="G32" s="856" t="s">
        <v>778</v>
      </c>
    </row>
    <row r="33" spans="1:8" ht="17.25">
      <c r="A33" s="437"/>
      <c r="B33" s="438"/>
      <c r="C33" s="436"/>
      <c r="D33" s="436"/>
      <c r="E33" s="861"/>
      <c r="F33" s="1108"/>
      <c r="G33" s="856" t="s">
        <v>779</v>
      </c>
      <c r="H33" s="857"/>
    </row>
    <row r="34" spans="1:6" ht="17.25">
      <c r="A34" s="437">
        <f>+A31+1</f>
        <v>7</v>
      </c>
      <c r="B34" s="438"/>
      <c r="C34" s="436" t="s">
        <v>162</v>
      </c>
      <c r="D34" s="650"/>
      <c r="E34" s="861">
        <f>+F35</f>
        <v>0</v>
      </c>
      <c r="F34" s="858"/>
    </row>
    <row r="35" spans="1:7" ht="17.25">
      <c r="A35" s="437"/>
      <c r="B35" s="438"/>
      <c r="C35" s="443"/>
      <c r="D35" s="438"/>
      <c r="E35" s="862"/>
      <c r="F35" s="1108"/>
      <c r="G35" s="856" t="s">
        <v>780</v>
      </c>
    </row>
    <row r="36" spans="1:7" ht="17.25">
      <c r="A36" s="437">
        <f>+A34+1</f>
        <v>8</v>
      </c>
      <c r="B36" s="438"/>
      <c r="C36" s="441" t="s">
        <v>948</v>
      </c>
      <c r="D36" s="438"/>
      <c r="E36" s="862"/>
      <c r="F36" s="859"/>
      <c r="G36" s="448"/>
    </row>
    <row r="37" spans="1:7" ht="17.25">
      <c r="A37" s="437">
        <f>+A36+1</f>
        <v>9</v>
      </c>
      <c r="B37" s="438"/>
      <c r="C37" s="436" t="s">
        <v>944</v>
      </c>
      <c r="D37" s="438"/>
      <c r="E37" s="861">
        <f>+F38</f>
        <v>0</v>
      </c>
      <c r="F37" s="448"/>
      <c r="G37" s="448"/>
    </row>
    <row r="38" spans="1:7" ht="17.25">
      <c r="A38" s="437"/>
      <c r="B38" s="438"/>
      <c r="C38" s="436"/>
      <c r="D38" s="438"/>
      <c r="E38" s="861"/>
      <c r="F38" s="1108"/>
      <c r="G38" s="856" t="s">
        <v>781</v>
      </c>
    </row>
    <row r="39" spans="1:7" ht="17.25">
      <c r="A39" s="437">
        <f>+A37+1</f>
        <v>10</v>
      </c>
      <c r="B39" s="438"/>
      <c r="C39" s="436" t="s">
        <v>937</v>
      </c>
      <c r="D39" s="438"/>
      <c r="E39" s="861">
        <f>+F40</f>
        <v>0</v>
      </c>
      <c r="F39" s="448"/>
      <c r="G39" s="448"/>
    </row>
    <row r="40" spans="1:7" ht="17.25">
      <c r="A40" s="437"/>
      <c r="B40" s="438"/>
      <c r="C40" s="436"/>
      <c r="D40" s="438"/>
      <c r="E40" s="861"/>
      <c r="F40" s="1108"/>
      <c r="G40" s="856" t="s">
        <v>782</v>
      </c>
    </row>
    <row r="41" spans="1:7" ht="17.25">
      <c r="A41" s="437">
        <f>+A39+1</f>
        <v>11</v>
      </c>
      <c r="B41" s="438"/>
      <c r="C41" s="436" t="s">
        <v>938</v>
      </c>
      <c r="D41" s="438"/>
      <c r="E41" s="861">
        <f>+F42+F43+F44</f>
        <v>0</v>
      </c>
      <c r="F41" s="448"/>
      <c r="G41" s="448"/>
    </row>
    <row r="42" spans="1:7" ht="17.25">
      <c r="A42" s="437" t="s">
        <v>555</v>
      </c>
      <c r="B42" s="438"/>
      <c r="C42" s="433"/>
      <c r="D42" s="438"/>
      <c r="E42" s="862"/>
      <c r="F42" s="1108"/>
      <c r="G42" s="856" t="s">
        <v>783</v>
      </c>
    </row>
    <row r="43" spans="1:7" ht="17.25">
      <c r="A43" s="437"/>
      <c r="B43" s="438"/>
      <c r="C43" s="433"/>
      <c r="D43" s="438"/>
      <c r="E43" s="862"/>
      <c r="F43" s="1108"/>
      <c r="G43" s="856" t="s">
        <v>784</v>
      </c>
    </row>
    <row r="44" spans="1:7" ht="17.25">
      <c r="A44" s="437"/>
      <c r="B44" s="438"/>
      <c r="C44" s="433"/>
      <c r="D44" s="438"/>
      <c r="E44" s="862"/>
      <c r="F44" s="1108"/>
      <c r="G44" s="856" t="s">
        <v>785</v>
      </c>
    </row>
    <row r="45" spans="1:7" ht="17.25">
      <c r="A45" s="437">
        <f>A41+1</f>
        <v>12</v>
      </c>
      <c r="B45" s="438"/>
      <c r="C45" s="1029" t="s">
        <v>880</v>
      </c>
      <c r="D45" s="438"/>
      <c r="E45" s="1022"/>
      <c r="F45" s="448"/>
      <c r="G45" s="448"/>
    </row>
    <row r="46" spans="1:7" ht="17.25">
      <c r="A46" s="437">
        <f>A45+1</f>
        <v>13</v>
      </c>
      <c r="B46" s="438"/>
      <c r="C46" s="448" t="s">
        <v>97</v>
      </c>
      <c r="D46" s="650"/>
      <c r="E46" s="861">
        <f>+F47</f>
        <v>0</v>
      </c>
      <c r="G46" s="448"/>
    </row>
    <row r="47" spans="1:7" ht="17.25">
      <c r="A47" s="437"/>
      <c r="B47" s="438"/>
      <c r="C47" s="433"/>
      <c r="D47" s="438"/>
      <c r="E47" s="862"/>
      <c r="F47" s="1108"/>
      <c r="G47" s="448"/>
    </row>
    <row r="48" spans="1:7" ht="17.25">
      <c r="A48" s="445">
        <f>A46+1</f>
        <v>14</v>
      </c>
      <c r="B48" s="446"/>
      <c r="C48" s="441" t="s">
        <v>945</v>
      </c>
      <c r="D48" s="447"/>
      <c r="E48" s="862"/>
      <c r="F48" s="855"/>
      <c r="G48" s="448"/>
    </row>
    <row r="49" spans="1:7" ht="17.25">
      <c r="A49" s="445">
        <f>A48+1</f>
        <v>15</v>
      </c>
      <c r="B49" s="446"/>
      <c r="C49" s="433" t="s">
        <v>96</v>
      </c>
      <c r="D49" s="447"/>
      <c r="E49" s="861">
        <f>+F50+F51</f>
        <v>0</v>
      </c>
      <c r="F49" s="448"/>
      <c r="G49" s="448"/>
    </row>
    <row r="50" spans="1:7" ht="17.25">
      <c r="A50" s="445"/>
      <c r="B50" s="446"/>
      <c r="C50" s="433"/>
      <c r="D50" s="447"/>
      <c r="E50" s="861"/>
      <c r="F50" s="1108"/>
      <c r="G50" s="856" t="s">
        <v>786</v>
      </c>
    </row>
    <row r="51" spans="1:7" ht="17.25">
      <c r="A51" s="445"/>
      <c r="B51" s="446"/>
      <c r="C51" s="433"/>
      <c r="D51" s="447"/>
      <c r="E51" s="861"/>
      <c r="F51" s="1108"/>
      <c r="G51" s="856" t="s">
        <v>792</v>
      </c>
    </row>
    <row r="52" spans="1:7" ht="17.25">
      <c r="A52" s="437">
        <f>A49+1</f>
        <v>16</v>
      </c>
      <c r="B52" s="438"/>
      <c r="C52" s="433" t="s">
        <v>939</v>
      </c>
      <c r="D52" s="438"/>
      <c r="E52" s="508">
        <f>+F53+F54+F55</f>
        <v>0</v>
      </c>
      <c r="F52" s="448"/>
      <c r="G52" s="448"/>
    </row>
    <row r="53" spans="1:7" ht="17.25">
      <c r="A53" s="437"/>
      <c r="B53" s="438"/>
      <c r="C53" s="433"/>
      <c r="D53" s="438"/>
      <c r="E53" s="508"/>
      <c r="F53" s="1109"/>
      <c r="G53" s="856" t="s">
        <v>793</v>
      </c>
    </row>
    <row r="54" spans="1:7" ht="17.25">
      <c r="A54" s="437"/>
      <c r="B54" s="438"/>
      <c r="C54" s="433"/>
      <c r="D54" s="438"/>
      <c r="E54" s="508"/>
      <c r="F54" s="1109"/>
      <c r="G54" s="856" t="s">
        <v>794</v>
      </c>
    </row>
    <row r="55" spans="1:7" ht="17.25">
      <c r="A55" s="437"/>
      <c r="B55" s="438"/>
      <c r="C55" s="433"/>
      <c r="D55" s="438"/>
      <c r="E55" s="508"/>
      <c r="F55" s="1109"/>
      <c r="G55" s="856" t="s">
        <v>795</v>
      </c>
    </row>
    <row r="56" spans="1:7" ht="17.25">
      <c r="A56" s="437">
        <f>+A52+1</f>
        <v>17</v>
      </c>
      <c r="B56" s="438"/>
      <c r="C56" s="433" t="s">
        <v>940</v>
      </c>
      <c r="D56"/>
      <c r="E56" s="508">
        <f>SUM(F57:F67)</f>
        <v>0</v>
      </c>
      <c r="F56" s="448"/>
      <c r="G56" s="448"/>
    </row>
    <row r="57" spans="1:7" ht="17.25">
      <c r="A57" s="437"/>
      <c r="B57" s="438"/>
      <c r="C57" s="433"/>
      <c r="D57"/>
      <c r="E57" s="508"/>
      <c r="F57" s="1109"/>
      <c r="G57" s="856" t="s">
        <v>1026</v>
      </c>
    </row>
    <row r="58" spans="1:7" ht="17.25">
      <c r="A58" s="437"/>
      <c r="B58" s="438"/>
      <c r="C58" s="433"/>
      <c r="D58"/>
      <c r="E58" s="508"/>
      <c r="F58" s="1109"/>
      <c r="G58" s="856" t="s">
        <v>306</v>
      </c>
    </row>
    <row r="59" spans="1:7" ht="17.25">
      <c r="A59" s="437"/>
      <c r="B59" s="438"/>
      <c r="C59" s="433"/>
      <c r="D59"/>
      <c r="E59" s="508"/>
      <c r="F59" s="1109"/>
      <c r="G59" s="856" t="s">
        <v>796</v>
      </c>
    </row>
    <row r="60" spans="1:7" ht="17.25">
      <c r="A60" s="437"/>
      <c r="B60" s="438"/>
      <c r="C60" s="433"/>
      <c r="D60"/>
      <c r="E60" s="508"/>
      <c r="F60" s="1109"/>
      <c r="G60" s="856" t="s">
        <v>797</v>
      </c>
    </row>
    <row r="61" spans="1:7" ht="17.25">
      <c r="A61" s="437"/>
      <c r="B61" s="438"/>
      <c r="C61" s="433"/>
      <c r="D61"/>
      <c r="E61" s="508"/>
      <c r="F61" s="1109"/>
      <c r="G61" s="856" t="s">
        <v>798</v>
      </c>
    </row>
    <row r="62" spans="1:7" ht="17.25">
      <c r="A62" s="437"/>
      <c r="B62" s="438"/>
      <c r="C62" s="433"/>
      <c r="D62"/>
      <c r="E62" s="508"/>
      <c r="F62" s="1109"/>
      <c r="G62" s="856" t="s">
        <v>799</v>
      </c>
    </row>
    <row r="63" spans="1:7" ht="17.25">
      <c r="A63" s="437"/>
      <c r="B63" s="438"/>
      <c r="C63" s="433"/>
      <c r="D63"/>
      <c r="E63" s="508"/>
      <c r="F63" s="1109"/>
      <c r="G63" s="856" t="s">
        <v>800</v>
      </c>
    </row>
    <row r="64" spans="1:7" ht="17.25">
      <c r="A64" s="437"/>
      <c r="B64" s="438"/>
      <c r="C64" s="433"/>
      <c r="D64"/>
      <c r="E64" s="508"/>
      <c r="F64" s="1109"/>
      <c r="G64" s="856" t="s">
        <v>801</v>
      </c>
    </row>
    <row r="65" spans="1:7" ht="17.25">
      <c r="A65" s="437"/>
      <c r="B65" s="438"/>
      <c r="C65" s="433"/>
      <c r="D65"/>
      <c r="E65" s="508"/>
      <c r="F65" s="1109"/>
      <c r="G65" s="856" t="s">
        <v>802</v>
      </c>
    </row>
    <row r="66" spans="1:7" ht="17.25">
      <c r="A66" s="437"/>
      <c r="B66" s="438"/>
      <c r="C66" s="433"/>
      <c r="D66"/>
      <c r="E66" s="508"/>
      <c r="F66" s="1109"/>
      <c r="G66" s="856" t="s">
        <v>803</v>
      </c>
    </row>
    <row r="67" spans="1:7" ht="17.25">
      <c r="A67" s="437"/>
      <c r="B67" s="438"/>
      <c r="C67" s="433"/>
      <c r="D67"/>
      <c r="E67" s="508"/>
      <c r="F67" s="1109"/>
      <c r="G67" s="856" t="s">
        <v>804</v>
      </c>
    </row>
    <row r="68" spans="1:7" ht="17.25">
      <c r="A68" s="437">
        <f>+A56+1</f>
        <v>18</v>
      </c>
      <c r="B68" s="438"/>
      <c r="C68" s="433" t="s">
        <v>941</v>
      </c>
      <c r="D68"/>
      <c r="E68" s="508">
        <f>SUM(F69:F72)</f>
        <v>0</v>
      </c>
      <c r="F68" s="448"/>
      <c r="G68" s="448"/>
    </row>
    <row r="69" spans="1:7" ht="17.25">
      <c r="A69" s="437"/>
      <c r="B69" s="438"/>
      <c r="C69" s="433"/>
      <c r="D69"/>
      <c r="E69" s="508"/>
      <c r="F69" s="1109"/>
      <c r="G69" s="856" t="s">
        <v>805</v>
      </c>
    </row>
    <row r="70" spans="1:7" ht="17.25">
      <c r="A70" s="437"/>
      <c r="B70" s="438"/>
      <c r="C70" s="433"/>
      <c r="D70"/>
      <c r="E70" s="508"/>
      <c r="F70" s="1109"/>
      <c r="G70" s="856" t="s">
        <v>806</v>
      </c>
    </row>
    <row r="71" spans="1:7" ht="17.25">
      <c r="A71" s="437"/>
      <c r="B71" s="438"/>
      <c r="C71" s="433"/>
      <c r="D71"/>
      <c r="E71" s="508"/>
      <c r="F71" s="1109"/>
      <c r="G71" s="856" t="s">
        <v>807</v>
      </c>
    </row>
    <row r="72" spans="1:7" ht="17.25">
      <c r="A72" s="437"/>
      <c r="B72" s="438"/>
      <c r="C72" s="433"/>
      <c r="D72"/>
      <c r="E72" s="508"/>
      <c r="F72" s="1109"/>
      <c r="G72" s="856" t="s">
        <v>808</v>
      </c>
    </row>
    <row r="73" spans="1:7" ht="17.25">
      <c r="A73" s="437">
        <f>+A68+1</f>
        <v>19</v>
      </c>
      <c r="B73" s="438"/>
      <c r="C73" s="433" t="s">
        <v>942</v>
      </c>
      <c r="D73" s="438"/>
      <c r="E73" s="508">
        <f>SUM(F74:F75)</f>
        <v>0</v>
      </c>
      <c r="F73" s="448"/>
      <c r="G73" s="448"/>
    </row>
    <row r="74" spans="1:7" ht="17.25">
      <c r="A74" s="437"/>
      <c r="B74" s="438"/>
      <c r="C74" s="433"/>
      <c r="D74" s="438"/>
      <c r="E74" s="508"/>
      <c r="F74" s="1109"/>
      <c r="G74" s="856" t="s">
        <v>1037</v>
      </c>
    </row>
    <row r="75" spans="1:7" ht="17.25">
      <c r="A75" s="437"/>
      <c r="B75" s="438"/>
      <c r="C75" s="433"/>
      <c r="D75" s="438"/>
      <c r="E75" s="508"/>
      <c r="F75" s="1109"/>
      <c r="G75" s="856" t="s">
        <v>781</v>
      </c>
    </row>
    <row r="76" spans="1:7" ht="17.25">
      <c r="A76" s="437">
        <f>+A73+1</f>
        <v>20</v>
      </c>
      <c r="B76" s="438"/>
      <c r="C76" s="433" t="s">
        <v>943</v>
      </c>
      <c r="D76" s="438"/>
      <c r="E76" s="508">
        <f>SUM(F77:F81)</f>
        <v>0</v>
      </c>
      <c r="F76" s="448"/>
      <c r="G76" s="448"/>
    </row>
    <row r="77" spans="1:7" ht="17.25">
      <c r="A77" s="437"/>
      <c r="B77" s="438"/>
      <c r="C77" s="433"/>
      <c r="D77" s="438"/>
      <c r="E77" s="508"/>
      <c r="F77" s="1109"/>
      <c r="G77" s="856" t="s">
        <v>809</v>
      </c>
    </row>
    <row r="78" spans="1:7" ht="17.25">
      <c r="A78" s="437"/>
      <c r="B78" s="438"/>
      <c r="C78" s="433"/>
      <c r="D78" s="438"/>
      <c r="E78" s="508"/>
      <c r="F78" s="1109"/>
      <c r="G78" s="856" t="s">
        <v>810</v>
      </c>
    </row>
    <row r="79" spans="1:7" ht="17.25">
      <c r="A79" s="437"/>
      <c r="B79" s="438"/>
      <c r="C79" s="433"/>
      <c r="D79" s="438"/>
      <c r="E79" s="508"/>
      <c r="F79" s="1109"/>
      <c r="G79" s="856" t="s">
        <v>811</v>
      </c>
    </row>
    <row r="80" spans="1:7" ht="17.25">
      <c r="A80" s="437"/>
      <c r="B80" s="438"/>
      <c r="C80" s="433"/>
      <c r="D80" s="438"/>
      <c r="E80" s="508"/>
      <c r="F80" s="1109"/>
      <c r="G80" s="856" t="s">
        <v>812</v>
      </c>
    </row>
    <row r="81" spans="1:7" ht="17.25">
      <c r="A81" s="437"/>
      <c r="B81" s="438"/>
      <c r="C81" s="433"/>
      <c r="D81" s="438"/>
      <c r="E81" s="508"/>
      <c r="F81" s="1109"/>
      <c r="G81" s="856" t="s">
        <v>813</v>
      </c>
    </row>
    <row r="82" spans="1:7" ht="17.25">
      <c r="A82" s="437">
        <f>+A76+1</f>
        <v>21</v>
      </c>
      <c r="B82" s="433"/>
      <c r="C82" s="433" t="s">
        <v>932</v>
      </c>
      <c r="D82" s="433"/>
      <c r="E82" s="508">
        <f>SUM(F83:F84)</f>
        <v>0</v>
      </c>
      <c r="F82" s="860"/>
      <c r="G82" s="448"/>
    </row>
    <row r="83" spans="1:7" ht="17.25">
      <c r="A83" s="437"/>
      <c r="B83" s="433"/>
      <c r="C83" s="433"/>
      <c r="D83" s="433"/>
      <c r="E83" s="854"/>
      <c r="F83" s="1109"/>
      <c r="G83" s="856" t="s">
        <v>814</v>
      </c>
    </row>
    <row r="84" spans="1:7" ht="17.25">
      <c r="A84" s="437"/>
      <c r="B84" s="433"/>
      <c r="C84" s="433"/>
      <c r="D84" s="433"/>
      <c r="E84" s="854"/>
      <c r="F84" s="1109"/>
      <c r="G84" s="856" t="s">
        <v>815</v>
      </c>
    </row>
    <row r="85" spans="1:7" ht="17.25">
      <c r="A85" s="437">
        <f>+A82+1</f>
        <v>22</v>
      </c>
      <c r="B85" s="433"/>
      <c r="C85" s="459" t="s">
        <v>547</v>
      </c>
      <c r="D85" s="448"/>
      <c r="E85" s="861">
        <f>+F86</f>
        <v>0</v>
      </c>
      <c r="G85" s="448"/>
    </row>
    <row r="86" spans="1:7" ht="17.25">
      <c r="A86" s="437"/>
      <c r="B86" s="433"/>
      <c r="C86" s="459"/>
      <c r="D86" s="448"/>
      <c r="E86" s="862"/>
      <c r="F86" s="1108"/>
      <c r="G86" s="448"/>
    </row>
    <row r="87" spans="1:7" ht="15.75">
      <c r="A87" s="102"/>
      <c r="B87" s="741"/>
      <c r="C87" s="741"/>
      <c r="D87"/>
      <c r="E87"/>
      <c r="F87" s="860"/>
      <c r="G87" s="448"/>
    </row>
    <row r="88" spans="1:7" ht="18" thickBot="1">
      <c r="A88" s="717">
        <f>+A85+1</f>
        <v>23</v>
      </c>
      <c r="B88" s="741"/>
      <c r="C88" s="433" t="s">
        <v>936</v>
      </c>
      <c r="D88"/>
      <c r="E88" s="458">
        <f>SUM(E12:E86)</f>
        <v>-765</v>
      </c>
      <c r="F88" s="458">
        <f>SUM(F12:F86)</f>
        <v>-765</v>
      </c>
      <c r="G88" s="448"/>
    </row>
    <row r="89" spans="1:7" ht="16.5" thickTop="1">
      <c r="A89" s="102"/>
      <c r="B89" s="741"/>
      <c r="C89" s="433" t="s">
        <v>7</v>
      </c>
      <c r="D89"/>
      <c r="E89"/>
      <c r="F89" s="448"/>
      <c r="G89" s="448"/>
    </row>
    <row r="90" spans="1:7" ht="15.75">
      <c r="A90" s="102"/>
      <c r="B90" s="741"/>
      <c r="C90" s="433"/>
      <c r="D90"/>
      <c r="E90"/>
      <c r="F90" s="448"/>
      <c r="G90" s="448"/>
    </row>
    <row r="91" spans="1:7" ht="21.75" customHeight="1">
      <c r="A91" s="1224" t="s">
        <v>315</v>
      </c>
      <c r="B91" s="1224"/>
      <c r="C91" s="1224"/>
      <c r="D91" s="1224"/>
      <c r="E91" s="1224"/>
      <c r="F91" s="1224"/>
      <c r="G91" s="1224"/>
    </row>
    <row r="92" spans="1:7" ht="21.75" customHeight="1">
      <c r="A92" s="1224"/>
      <c r="B92" s="1224"/>
      <c r="C92" s="1224"/>
      <c r="D92" s="1224"/>
      <c r="E92" s="1224"/>
      <c r="F92" s="1224"/>
      <c r="G92" s="1224"/>
    </row>
    <row r="93" spans="1:7" ht="21.75" customHeight="1">
      <c r="A93" s="1224"/>
      <c r="B93" s="1224"/>
      <c r="C93" s="1224"/>
      <c r="D93" s="1224"/>
      <c r="E93" s="1224"/>
      <c r="F93" s="1224"/>
      <c r="G93" s="1224"/>
    </row>
    <row r="94" spans="1:7" ht="21.75" customHeight="1">
      <c r="A94" s="1224"/>
      <c r="B94" s="1224"/>
      <c r="C94" s="1224"/>
      <c r="D94" s="1224"/>
      <c r="E94" s="1224"/>
      <c r="F94" s="1224"/>
      <c r="G94" s="1224"/>
    </row>
    <row r="95" spans="1:7" ht="21.75" customHeight="1">
      <c r="A95" s="1224"/>
      <c r="B95" s="1224"/>
      <c r="C95" s="1224"/>
      <c r="D95" s="1224"/>
      <c r="E95" s="1224"/>
      <c r="F95" s="1224"/>
      <c r="G95" s="1224"/>
    </row>
    <row r="96" spans="2:7" ht="15.75">
      <c r="B96" s="505"/>
      <c r="F96" s="448"/>
      <c r="G96" s="448"/>
    </row>
    <row r="97" spans="2:7" ht="15.75">
      <c r="B97" s="505"/>
      <c r="F97" s="448"/>
      <c r="G97" s="448"/>
    </row>
    <row r="98" spans="2:7" ht="15.75">
      <c r="B98" s="505"/>
      <c r="F98" s="860"/>
      <c r="G98" s="448"/>
    </row>
    <row r="99" spans="2:7" ht="15.75">
      <c r="B99" s="505"/>
      <c r="F99" s="860"/>
      <c r="G99" s="448"/>
    </row>
    <row r="100" spans="2:7" ht="15.75">
      <c r="B100" s="505"/>
      <c r="F100" s="860"/>
      <c r="G100" s="448"/>
    </row>
    <row r="101" spans="2:7" ht="15.75">
      <c r="B101" s="505"/>
      <c r="F101" s="448"/>
      <c r="G101" s="854"/>
    </row>
    <row r="102" spans="2:7" ht="15.75">
      <c r="B102" s="505"/>
      <c r="F102" s="448"/>
      <c r="G102" s="854"/>
    </row>
    <row r="103" spans="2:7" ht="15.75">
      <c r="B103" s="505"/>
      <c r="F103" s="448"/>
      <c r="G103" s="854"/>
    </row>
    <row r="104" spans="2:7" ht="15.75">
      <c r="B104" s="505"/>
      <c r="F104" s="448"/>
      <c r="G104" s="854"/>
    </row>
    <row r="105" ht="12.75">
      <c r="B105" s="505"/>
    </row>
    <row r="106" ht="12.75">
      <c r="B106" s="505"/>
    </row>
    <row r="107" ht="12.75">
      <c r="B107" s="505"/>
    </row>
    <row r="108" ht="12.75">
      <c r="B108" s="505"/>
    </row>
    <row r="109" ht="12.75">
      <c r="B109" s="505"/>
    </row>
    <row r="110" ht="12.75">
      <c r="B110" s="505"/>
    </row>
  </sheetData>
  <sheetProtection/>
  <mergeCells count="6">
    <mergeCell ref="H2:M2"/>
    <mergeCell ref="A91:G95"/>
    <mergeCell ref="A1:G1"/>
    <mergeCell ref="A2:G2"/>
    <mergeCell ref="A3:G3"/>
    <mergeCell ref="A4:G4"/>
  </mergeCells>
  <printOptions/>
  <pageMargins left="0.82" right="1.28" top="0.67" bottom="0.56" header="0.75" footer="0.28"/>
  <pageSetup fitToHeight="1" fitToWidth="1" horizontalDpi="600" verticalDpi="600" orientation="portrait" scale="37" r:id="rId1"/>
  <headerFooter alignWithMargins="0">
    <oddHeader>&amp;R&amp;"Arial,Bold"Formula Rate 
&amp;A
Page &amp;P of &amp;N</oddHeader>
  </headerFooter>
  <colBreaks count="1" manualBreakCount="1">
    <brk id="5" max="93" man="1"/>
  </colBreaks>
</worksheet>
</file>

<file path=xl/worksheets/sheet14.xml><?xml version="1.0" encoding="utf-8"?>
<worksheet xmlns="http://schemas.openxmlformats.org/spreadsheetml/2006/main" xmlns:r="http://schemas.openxmlformats.org/officeDocument/2006/relationships">
  <sheetPr>
    <pageSetUpPr fitToPage="1"/>
  </sheetPr>
  <dimension ref="A1:AC82"/>
  <sheetViews>
    <sheetView zoomScalePageLayoutView="0" workbookViewId="0" topLeftCell="A1">
      <selection activeCell="G18" sqref="G18"/>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spans="1:13" ht="17.25">
      <c r="A1" s="1227" t="str">
        <f>'Historic TCOS'!$F$3</f>
        <v>AEPTCo subsidiaries in PJM</v>
      </c>
      <c r="B1" s="1227" t="str">
        <f>'Historic TCOS'!$F$3</f>
        <v>AEPTCo subsidiaries in PJM</v>
      </c>
      <c r="C1" s="1227" t="str">
        <f>'Historic TCOS'!$F$3</f>
        <v>AEPTCo subsidiaries in PJM</v>
      </c>
      <c r="D1" s="1227" t="str">
        <f>'Historic TCOS'!$F$3</f>
        <v>AEPTCo subsidiaries in PJM</v>
      </c>
      <c r="E1" s="1227" t="str">
        <f>'Historic TCOS'!$F$3</f>
        <v>AEPTCo subsidiaries in PJM</v>
      </c>
      <c r="F1" s="1227" t="str">
        <f>'Historic TCOS'!$F$3</f>
        <v>AEPTCo subsidiaries in PJM</v>
      </c>
      <c r="G1" s="1227" t="str">
        <f>'Historic TCOS'!$F$3</f>
        <v>AEPTCo subsidiaries in PJM</v>
      </c>
      <c r="H1" s="1227" t="str">
        <f>'Historic TCOS'!$F$3</f>
        <v>AEPTCo subsidiaries in PJM</v>
      </c>
      <c r="I1" s="1227" t="str">
        <f>'Historic TCOS'!$F$3</f>
        <v>AEPTCo subsidiaries in PJM</v>
      </c>
      <c r="J1" s="1227" t="str">
        <f>'Historic TCOS'!$F$3</f>
        <v>AEPTCo subsidiaries in PJM</v>
      </c>
      <c r="K1" s="496"/>
      <c r="L1" s="496"/>
      <c r="M1" s="496"/>
    </row>
    <row r="2" spans="1:13" ht="17.25">
      <c r="A2" s="1226" t="str">
        <f>"Cost of Service Formula Rate Using "&amp;'Historic TCOS'!O1&amp;" FF1 Balances"</f>
        <v>Cost of Service Formula Rate Using 2014 FF1 Balances</v>
      </c>
      <c r="B2" s="1226"/>
      <c r="C2" s="1226"/>
      <c r="D2" s="1226"/>
      <c r="E2" s="1226"/>
      <c r="F2" s="1226"/>
      <c r="G2" s="1226"/>
      <c r="H2" s="1226"/>
      <c r="I2" s="1226"/>
      <c r="J2" s="1226"/>
      <c r="K2" s="274"/>
      <c r="L2" s="274"/>
      <c r="M2" s="274"/>
    </row>
    <row r="3" spans="1:13" ht="17.25">
      <c r="A3" s="1226" t="s">
        <v>209</v>
      </c>
      <c r="B3" s="1226"/>
      <c r="C3" s="1226"/>
      <c r="D3" s="1226"/>
      <c r="E3" s="1226"/>
      <c r="F3" s="1226"/>
      <c r="G3" s="1226"/>
      <c r="H3" s="1226"/>
      <c r="I3" s="1226"/>
      <c r="J3" s="1226"/>
      <c r="K3" s="497"/>
      <c r="L3" s="497"/>
      <c r="M3" s="497"/>
    </row>
    <row r="4" spans="1:13" ht="17.25">
      <c r="A4" s="1219" t="str">
        <f>+'Historic TCOS'!F7</f>
        <v>AEP KENTUCKY TRANSMISSION COMPANY</v>
      </c>
      <c r="B4" s="1219"/>
      <c r="C4" s="1219"/>
      <c r="D4" s="1219"/>
      <c r="E4" s="1219"/>
      <c r="F4" s="1219"/>
      <c r="G4" s="1219"/>
      <c r="H4" s="1219"/>
      <c r="I4" s="1219"/>
      <c r="J4" s="1219"/>
      <c r="K4" s="513"/>
      <c r="L4" s="513"/>
      <c r="M4" s="513"/>
    </row>
    <row r="5" spans="1:9" ht="12.75">
      <c r="A5" s="522" t="s">
        <v>85</v>
      </c>
      <c r="B5" s="522" t="s">
        <v>86</v>
      </c>
      <c r="C5" s="522" t="s">
        <v>366</v>
      </c>
      <c r="D5" s="522" t="s">
        <v>87</v>
      </c>
      <c r="E5" s="522" t="s">
        <v>88</v>
      </c>
      <c r="F5" s="522" t="s">
        <v>89</v>
      </c>
      <c r="G5" s="522" t="s">
        <v>90</v>
      </c>
      <c r="H5" s="522" t="s">
        <v>91</v>
      </c>
      <c r="I5" s="522" t="s">
        <v>92</v>
      </c>
    </row>
    <row r="7" spans="1:6" ht="17.25">
      <c r="A7" s="519" t="s">
        <v>610</v>
      </c>
      <c r="B7" s="320" t="s">
        <v>889</v>
      </c>
      <c r="D7" s="353"/>
      <c r="E7" s="102"/>
      <c r="F7" s="372"/>
    </row>
    <row r="8" spans="3:29" ht="17.25">
      <c r="C8" s="104"/>
      <c r="D8" s="353"/>
      <c r="E8" s="102"/>
      <c r="F8" s="372"/>
      <c r="Q8" s="496"/>
      <c r="R8" s="496"/>
      <c r="S8" s="496"/>
      <c r="T8" s="496"/>
      <c r="U8" s="496"/>
      <c r="V8" s="496"/>
      <c r="W8" s="496"/>
      <c r="X8" s="496"/>
      <c r="Y8" s="496"/>
      <c r="Z8" s="496"/>
      <c r="AA8" s="496"/>
      <c r="AB8" s="496"/>
      <c r="AC8" s="496"/>
    </row>
    <row r="9" spans="1:8" ht="12.75">
      <c r="A9">
        <v>1</v>
      </c>
      <c r="C9" s="104" t="str">
        <f>"Transmission Plant @ Beginning of Historic Period ("&amp;'Historic TCOS'!O1&amp;") (P.206, ln 58,(b)):"</f>
        <v>Transmission Plant @ Beginning of Historic Period (2014) (P.206, ln 58,(b)):</v>
      </c>
      <c r="D9" s="353"/>
      <c r="H9" s="1078">
        <v>0</v>
      </c>
    </row>
    <row r="10" spans="1:8" ht="12.75">
      <c r="A10">
        <f aca="true" t="shared" si="0" ref="A10:A15">+A9+1</f>
        <v>2</v>
      </c>
      <c r="C10" s="104" t="str">
        <f>"Transmission Plant @ End of Historic Period ("&amp;'Historic TCOS'!O1&amp;") (P.207, ln 58,(g)):"</f>
        <v>Transmission Plant @ End of Historic Period (2014) (P.207, ln 58,(g)):</v>
      </c>
      <c r="D10" s="353"/>
      <c r="H10" s="512">
        <f>+'WS A  - RB Support '!E19</f>
        <v>0</v>
      </c>
    </row>
    <row r="11" spans="1:8" ht="12.75">
      <c r="A11">
        <f t="shared" si="0"/>
        <v>3</v>
      </c>
      <c r="C11" s="104"/>
      <c r="D11" s="353"/>
      <c r="H11" s="354">
        <f>+H10+H9</f>
        <v>0</v>
      </c>
    </row>
    <row r="12" spans="1:8" ht="12.75">
      <c r="A12">
        <f t="shared" si="0"/>
        <v>4</v>
      </c>
      <c r="C12" s="104" t="s">
        <v>8</v>
      </c>
      <c r="D12" s="353"/>
      <c r="H12" s="354">
        <f>+H11/2</f>
        <v>0</v>
      </c>
    </row>
    <row r="13" spans="1:8" ht="12.75">
      <c r="A13">
        <f t="shared" si="0"/>
        <v>5</v>
      </c>
      <c r="C13" s="104" t="str">
        <f>+"Annual Depreciation Expense, Historic TCOS, ln "&amp;'Historic TCOS'!B175&amp;""</f>
        <v>Annual Depreciation Expense, Historic TCOS, ln 285</v>
      </c>
      <c r="D13" s="353"/>
      <c r="E13" s="102"/>
      <c r="H13" s="354">
        <f>+'Historic TCOS'!G175</f>
        <v>0</v>
      </c>
    </row>
    <row r="14" spans="1:8" ht="12.75">
      <c r="A14">
        <f t="shared" si="0"/>
        <v>6</v>
      </c>
      <c r="C14" s="104" t="s">
        <v>890</v>
      </c>
      <c r="D14" s="353"/>
      <c r="E14" s="102"/>
      <c r="H14" s="372">
        <f>IF(H12=0,0,H13/H12)</f>
        <v>0</v>
      </c>
    </row>
    <row r="15" spans="1:8" ht="12.75">
      <c r="A15">
        <f t="shared" si="0"/>
        <v>7</v>
      </c>
      <c r="C15" s="104" t="str">
        <f>"Depreciation rate of AEP Operating Companies from Worksheet P (used if line "&amp;A14&amp;" is zero)"</f>
        <v>Depreciation rate of AEP Operating Companies from Worksheet P (used if line 6 is zero)</v>
      </c>
      <c r="D15" s="353"/>
      <c r="E15" s="102"/>
      <c r="H15" s="925">
        <f>IF(H14=0,'WS P Dep. Rates'!D31,H14)</f>
        <v>0.017048266295568243</v>
      </c>
    </row>
    <row r="17" spans="1:2" ht="17.25">
      <c r="A17" s="519" t="s">
        <v>611</v>
      </c>
      <c r="B17" s="137" t="s">
        <v>9</v>
      </c>
    </row>
    <row r="19" spans="1:10" ht="52.5">
      <c r="A19" s="136">
        <f>+A15+1</f>
        <v>8</v>
      </c>
      <c r="B19" s="136"/>
      <c r="C19" s="514" t="s">
        <v>10</v>
      </c>
      <c r="D19" s="514" t="s">
        <v>11</v>
      </c>
      <c r="E19" s="514" t="s">
        <v>12</v>
      </c>
      <c r="F19" s="514" t="s">
        <v>13</v>
      </c>
      <c r="G19" s="514" t="s">
        <v>14</v>
      </c>
      <c r="H19" s="514" t="s">
        <v>15</v>
      </c>
      <c r="I19" s="514" t="s">
        <v>16</v>
      </c>
      <c r="J19" s="515"/>
    </row>
    <row r="21" spans="1:9" ht="12.75">
      <c r="A21">
        <f>+A19+1</f>
        <v>9</v>
      </c>
      <c r="C21" t="s">
        <v>644</v>
      </c>
      <c r="D21" s="1075">
        <v>0</v>
      </c>
      <c r="E21" s="516">
        <f>H15</f>
        <v>0.017048266295568243</v>
      </c>
      <c r="F21" s="517">
        <f aca="true" t="shared" si="1" ref="F21:F32">E21*D21</f>
        <v>0</v>
      </c>
      <c r="G21" s="517">
        <f aca="true" t="shared" si="2" ref="G21:G32">ROUND(+F21/12,0)</f>
        <v>0</v>
      </c>
      <c r="H21">
        <v>11</v>
      </c>
      <c r="I21" s="517">
        <f aca="true" t="shared" si="3" ref="I21:I32">H21*G21</f>
        <v>0</v>
      </c>
    </row>
    <row r="22" spans="1:9" ht="12.75">
      <c r="A22">
        <f>+A21+1</f>
        <v>10</v>
      </c>
      <c r="C22" t="s">
        <v>17</v>
      </c>
      <c r="D22" s="1075">
        <v>912054.6</v>
      </c>
      <c r="E22" s="431">
        <f aca="true" t="shared" si="4" ref="E22:E32">+E21</f>
        <v>0.017048266295568243</v>
      </c>
      <c r="F22" s="517">
        <f t="shared" si="1"/>
        <v>15548.949696897975</v>
      </c>
      <c r="G22" s="517">
        <f t="shared" si="2"/>
        <v>1296</v>
      </c>
      <c r="H22">
        <v>10</v>
      </c>
      <c r="I22" s="517">
        <f t="shared" si="3"/>
        <v>12960</v>
      </c>
    </row>
    <row r="23" spans="1:9" ht="12.75">
      <c r="A23">
        <f aca="true" t="shared" si="5" ref="A23:A32">+A22+1</f>
        <v>11</v>
      </c>
      <c r="C23" t="s">
        <v>645</v>
      </c>
      <c r="D23" s="1075">
        <v>0</v>
      </c>
      <c r="E23" s="431">
        <f t="shared" si="4"/>
        <v>0.017048266295568243</v>
      </c>
      <c r="F23" s="517">
        <f t="shared" si="1"/>
        <v>0</v>
      </c>
      <c r="G23" s="517">
        <f t="shared" si="2"/>
        <v>0</v>
      </c>
      <c r="H23">
        <v>9</v>
      </c>
      <c r="I23" s="517">
        <f t="shared" si="3"/>
        <v>0</v>
      </c>
    </row>
    <row r="24" spans="1:9" ht="12.75">
      <c r="A24">
        <f t="shared" si="5"/>
        <v>12</v>
      </c>
      <c r="C24" t="s">
        <v>646</v>
      </c>
      <c r="D24" s="1075">
        <v>0</v>
      </c>
      <c r="E24" s="431">
        <f t="shared" si="4"/>
        <v>0.017048266295568243</v>
      </c>
      <c r="F24" s="517">
        <f t="shared" si="1"/>
        <v>0</v>
      </c>
      <c r="G24" s="517">
        <f t="shared" si="2"/>
        <v>0</v>
      </c>
      <c r="H24">
        <v>8</v>
      </c>
      <c r="I24" s="517">
        <f t="shared" si="3"/>
        <v>0</v>
      </c>
    </row>
    <row r="25" spans="1:9" ht="12.75">
      <c r="A25">
        <f t="shared" si="5"/>
        <v>13</v>
      </c>
      <c r="C25" t="s">
        <v>647</v>
      </c>
      <c r="D25" s="1075">
        <v>1884780.65</v>
      </c>
      <c r="E25" s="431">
        <f t="shared" si="4"/>
        <v>0.017048266295568243</v>
      </c>
      <c r="F25" s="517">
        <f t="shared" si="1"/>
        <v>32132.242429934202</v>
      </c>
      <c r="G25" s="517">
        <f t="shared" si="2"/>
        <v>2678</v>
      </c>
      <c r="H25">
        <v>7</v>
      </c>
      <c r="I25" s="517">
        <f t="shared" si="3"/>
        <v>18746</v>
      </c>
    </row>
    <row r="26" spans="1:9" ht="12.75">
      <c r="A26">
        <f t="shared" si="5"/>
        <v>14</v>
      </c>
      <c r="C26" t="s">
        <v>18</v>
      </c>
      <c r="D26" s="1075">
        <v>0</v>
      </c>
      <c r="E26" s="431">
        <f t="shared" si="4"/>
        <v>0.017048266295568243</v>
      </c>
      <c r="F26" s="517">
        <f t="shared" si="1"/>
        <v>0</v>
      </c>
      <c r="G26" s="517">
        <f t="shared" si="2"/>
        <v>0</v>
      </c>
      <c r="H26">
        <v>6</v>
      </c>
      <c r="I26" s="517">
        <f t="shared" si="3"/>
        <v>0</v>
      </c>
    </row>
    <row r="27" spans="1:9" ht="12.75">
      <c r="A27">
        <f t="shared" si="5"/>
        <v>15</v>
      </c>
      <c r="C27" t="s">
        <v>648</v>
      </c>
      <c r="D27" s="1075">
        <v>0</v>
      </c>
      <c r="E27" s="431">
        <f t="shared" si="4"/>
        <v>0.017048266295568243</v>
      </c>
      <c r="F27" s="517">
        <f t="shared" si="1"/>
        <v>0</v>
      </c>
      <c r="G27" s="517">
        <f t="shared" si="2"/>
        <v>0</v>
      </c>
      <c r="H27">
        <v>5</v>
      </c>
      <c r="I27" s="517">
        <f t="shared" si="3"/>
        <v>0</v>
      </c>
    </row>
    <row r="28" spans="1:9" ht="12.75">
      <c r="A28">
        <f t="shared" si="5"/>
        <v>16</v>
      </c>
      <c r="C28" t="s">
        <v>649</v>
      </c>
      <c r="D28" s="1075">
        <v>0</v>
      </c>
      <c r="E28" s="431">
        <f t="shared" si="4"/>
        <v>0.017048266295568243</v>
      </c>
      <c r="F28" s="517">
        <f t="shared" si="1"/>
        <v>0</v>
      </c>
      <c r="G28" s="517">
        <f t="shared" si="2"/>
        <v>0</v>
      </c>
      <c r="H28">
        <v>4</v>
      </c>
      <c r="I28" s="517">
        <f t="shared" si="3"/>
        <v>0</v>
      </c>
    </row>
    <row r="29" spans="1:9" ht="12.75">
      <c r="A29">
        <f t="shared" si="5"/>
        <v>17</v>
      </c>
      <c r="C29" t="s">
        <v>652</v>
      </c>
      <c r="D29" s="1075">
        <v>15060000.74</v>
      </c>
      <c r="E29" s="431">
        <f t="shared" si="4"/>
        <v>0.017048266295568243</v>
      </c>
      <c r="F29" s="517">
        <f t="shared" si="1"/>
        <v>256746.9030269748</v>
      </c>
      <c r="G29" s="517">
        <f t="shared" si="2"/>
        <v>21396</v>
      </c>
      <c r="H29">
        <v>3</v>
      </c>
      <c r="I29" s="517">
        <f t="shared" si="3"/>
        <v>64188</v>
      </c>
    </row>
    <row r="30" spans="1:9" ht="12.75">
      <c r="A30">
        <f t="shared" si="5"/>
        <v>18</v>
      </c>
      <c r="C30" t="s">
        <v>650</v>
      </c>
      <c r="D30" s="1075">
        <v>0</v>
      </c>
      <c r="E30" s="431">
        <f t="shared" si="4"/>
        <v>0.017048266295568243</v>
      </c>
      <c r="F30" s="517">
        <f t="shared" si="1"/>
        <v>0</v>
      </c>
      <c r="G30" s="517">
        <f t="shared" si="2"/>
        <v>0</v>
      </c>
      <c r="H30">
        <v>2</v>
      </c>
      <c r="I30" s="517">
        <f t="shared" si="3"/>
        <v>0</v>
      </c>
    </row>
    <row r="31" spans="1:9" ht="12.75">
      <c r="A31">
        <f t="shared" si="5"/>
        <v>19</v>
      </c>
      <c r="C31" t="s">
        <v>19</v>
      </c>
      <c r="D31" s="1075">
        <v>0</v>
      </c>
      <c r="E31" s="431">
        <f t="shared" si="4"/>
        <v>0.017048266295568243</v>
      </c>
      <c r="F31" s="517">
        <f t="shared" si="1"/>
        <v>0</v>
      </c>
      <c r="G31" s="517">
        <f t="shared" si="2"/>
        <v>0</v>
      </c>
      <c r="H31">
        <v>1</v>
      </c>
      <c r="I31" s="517">
        <f t="shared" si="3"/>
        <v>0</v>
      </c>
    </row>
    <row r="32" spans="1:9" ht="12.75">
      <c r="A32">
        <f t="shared" si="5"/>
        <v>20</v>
      </c>
      <c r="C32" t="s">
        <v>651</v>
      </c>
      <c r="D32" s="1075">
        <v>8721184.06</v>
      </c>
      <c r="E32" s="431">
        <f t="shared" si="4"/>
        <v>0.017048266295568243</v>
      </c>
      <c r="F32" s="517">
        <f t="shared" si="1"/>
        <v>148681.06826754502</v>
      </c>
      <c r="G32" s="517">
        <f t="shared" si="2"/>
        <v>12390</v>
      </c>
      <c r="H32">
        <v>0</v>
      </c>
      <c r="I32" s="517">
        <f t="shared" si="3"/>
        <v>0</v>
      </c>
    </row>
    <row r="34" spans="1:9" ht="13.5" thickBot="1">
      <c r="A34">
        <f>+A32+1</f>
        <v>21</v>
      </c>
      <c r="C34" t="s">
        <v>894</v>
      </c>
      <c r="D34" s="518">
        <f>SUM(D21:D33)</f>
        <v>26578020.050000004</v>
      </c>
      <c r="H34" s="279" t="s">
        <v>20</v>
      </c>
      <c r="I34" s="518">
        <f>SUM(I21:I33)</f>
        <v>95894</v>
      </c>
    </row>
    <row r="35" ht="13.5" thickTop="1"/>
    <row r="36" spans="1:2" ht="17.25">
      <c r="A36" s="519" t="s">
        <v>612</v>
      </c>
      <c r="B36" s="137" t="s">
        <v>21</v>
      </c>
    </row>
    <row r="37" spans="1:5" ht="12.75">
      <c r="A37">
        <f>+A34+1</f>
        <v>22</v>
      </c>
      <c r="D37" s="1075">
        <v>0</v>
      </c>
      <c r="E37" t="s">
        <v>22</v>
      </c>
    </row>
    <row r="38" spans="1:5" ht="12.75">
      <c r="A38">
        <f>+A37+1</f>
        <v>23</v>
      </c>
      <c r="D38" s="1075">
        <v>0</v>
      </c>
      <c r="E38" t="s">
        <v>205</v>
      </c>
    </row>
    <row r="39" ht="12.75">
      <c r="E39" t="s">
        <v>206</v>
      </c>
    </row>
    <row r="40" spans="1:5" ht="12.75">
      <c r="A40">
        <f>+A38+1</f>
        <v>24</v>
      </c>
      <c r="B40" t="str">
        <f>"(Ln "&amp;A15&amp;" * Ln "&amp;A37&amp;")"</f>
        <v>(Ln 7 * Ln 22)</v>
      </c>
      <c r="D40" s="573">
        <f>+D37*E32</f>
        <v>0</v>
      </c>
      <c r="E40" t="s">
        <v>210</v>
      </c>
    </row>
    <row r="43" spans="1:9" ht="17.25">
      <c r="A43" s="519" t="s">
        <v>613</v>
      </c>
      <c r="B43" s="528" t="str">
        <f>"List of Major Projects Expected to be In-Service in "&amp;'Historic TCOS'!O2&amp;""</f>
        <v>List of Major Projects Expected to be In-Service in 2015</v>
      </c>
      <c r="C43" s="520"/>
      <c r="E43" s="520"/>
      <c r="F43" s="520"/>
      <c r="G43" s="520"/>
      <c r="H43" s="520"/>
      <c r="I43" s="353"/>
    </row>
    <row r="44" spans="2:9" ht="12.75">
      <c r="B44" s="521"/>
      <c r="C44" s="520"/>
      <c r="D44" s="520"/>
      <c r="E44" s="520"/>
      <c r="F44" s="520"/>
      <c r="G44" s="520"/>
      <c r="H44" s="520"/>
      <c r="I44" s="353"/>
    </row>
    <row r="45" spans="2:8" ht="26.25">
      <c r="B45" s="527"/>
      <c r="C45" s="520"/>
      <c r="D45" s="520"/>
      <c r="E45" s="520"/>
      <c r="F45" s="520"/>
      <c r="G45" s="529" t="s">
        <v>211</v>
      </c>
      <c r="H45" s="529" t="s">
        <v>10</v>
      </c>
    </row>
    <row r="46" spans="1:7" ht="12.75">
      <c r="A46">
        <f>+A40+1</f>
        <v>25</v>
      </c>
      <c r="B46" s="527" t="s">
        <v>537</v>
      </c>
      <c r="C46" s="522"/>
      <c r="D46" s="522"/>
      <c r="E46" s="522"/>
      <c r="F46" s="522"/>
      <c r="G46" s="522"/>
    </row>
    <row r="47" spans="1:11" ht="12.75">
      <c r="A47">
        <f>+A46+1</f>
        <v>26</v>
      </c>
      <c r="B47" s="783" t="s">
        <v>1039</v>
      </c>
      <c r="C47" s="146"/>
      <c r="G47" s="1162">
        <v>6481.44085484671</v>
      </c>
      <c r="H47" s="1163" t="s">
        <v>1040</v>
      </c>
      <c r="I47" s="525"/>
      <c r="J47" s="530"/>
      <c r="K47" s="526"/>
    </row>
    <row r="48" spans="1:11" ht="12.75">
      <c r="A48">
        <f aca="true" t="shared" si="6" ref="A48:A56">+A47+1</f>
        <v>27</v>
      </c>
      <c r="B48" s="146"/>
      <c r="G48" s="831"/>
      <c r="H48" s="830"/>
      <c r="I48" s="525"/>
      <c r="J48" s="530"/>
      <c r="K48" s="526"/>
    </row>
    <row r="49" spans="1:11" ht="12.75">
      <c r="A49">
        <f t="shared" si="6"/>
        <v>28</v>
      </c>
      <c r="B49" s="146"/>
      <c r="C49" s="353"/>
      <c r="D49" s="353"/>
      <c r="E49" s="353"/>
      <c r="F49" s="353"/>
      <c r="G49" s="832"/>
      <c r="H49" s="830"/>
      <c r="I49" s="525"/>
      <c r="J49" s="530"/>
      <c r="K49" s="526"/>
    </row>
    <row r="50" spans="1:11" ht="12.75">
      <c r="A50">
        <f t="shared" si="6"/>
        <v>29</v>
      </c>
      <c r="B50" s="146"/>
      <c r="D50" s="521"/>
      <c r="E50" s="522"/>
      <c r="F50" s="521"/>
      <c r="G50" s="832"/>
      <c r="H50" s="830"/>
      <c r="I50" s="525"/>
      <c r="J50" s="530"/>
      <c r="K50" s="526"/>
    </row>
    <row r="51" spans="1:10" ht="12.75">
      <c r="A51">
        <f>+A50+1</f>
        <v>30</v>
      </c>
      <c r="B51" s="146"/>
      <c r="G51" s="833"/>
      <c r="H51" s="830"/>
      <c r="I51" s="525"/>
      <c r="J51" s="530"/>
    </row>
    <row r="52" spans="1:10" ht="12.75">
      <c r="A52">
        <f t="shared" si="6"/>
        <v>31</v>
      </c>
      <c r="B52" s="524"/>
      <c r="F52" s="279" t="s">
        <v>212</v>
      </c>
      <c r="G52" s="533">
        <f>SUM(G47:G51)</f>
        <v>6481.44085484671</v>
      </c>
      <c r="H52" s="532"/>
      <c r="I52" s="525"/>
      <c r="J52" s="530"/>
    </row>
    <row r="53" spans="2:10" ht="12.75">
      <c r="B53" s="524"/>
      <c r="F53" s="279"/>
      <c r="G53" s="523"/>
      <c r="H53" s="532"/>
      <c r="I53" s="525"/>
      <c r="J53" s="530"/>
    </row>
    <row r="54" spans="1:10" ht="12.75">
      <c r="A54">
        <f>+A52+1</f>
        <v>32</v>
      </c>
      <c r="B54" s="527" t="s">
        <v>538</v>
      </c>
      <c r="G54" s="523"/>
      <c r="H54" s="532"/>
      <c r="I54" s="525"/>
      <c r="J54" s="530"/>
    </row>
    <row r="55" spans="1:10" ht="12.75">
      <c r="A55">
        <f t="shared" si="6"/>
        <v>33</v>
      </c>
      <c r="B55" s="834"/>
      <c r="C55" s="835"/>
      <c r="D55" s="520"/>
      <c r="E55" s="520"/>
      <c r="F55" s="520"/>
      <c r="G55" s="617">
        <v>0</v>
      </c>
      <c r="H55" s="530"/>
      <c r="J55" s="530"/>
    </row>
    <row r="56" spans="1:10" ht="12.75">
      <c r="A56">
        <f t="shared" si="6"/>
        <v>34</v>
      </c>
      <c r="F56" s="279" t="s">
        <v>212</v>
      </c>
      <c r="G56" s="617">
        <f>SUM(G55:G55)</f>
        <v>0</v>
      </c>
      <c r="J56" s="531"/>
    </row>
    <row r="58" spans="1:9" ht="12.75" customHeight="1">
      <c r="A58" s="1225"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B58" s="1225"/>
      <c r="C58" s="1225"/>
      <c r="D58" s="1225"/>
      <c r="E58" s="1225"/>
      <c r="F58" s="1225"/>
      <c r="G58" s="1225"/>
      <c r="H58" s="1225"/>
      <c r="I58" s="1225"/>
    </row>
    <row r="59" spans="1:9" ht="12.75">
      <c r="A59" s="1225"/>
      <c r="B59" s="1225"/>
      <c r="C59" s="1225"/>
      <c r="D59" s="1225"/>
      <c r="E59" s="1225"/>
      <c r="F59" s="1225"/>
      <c r="G59" s="1225"/>
      <c r="H59" s="1225"/>
      <c r="I59" s="1225"/>
    </row>
    <row r="60" spans="1:9" ht="12.75">
      <c r="A60" s="1225"/>
      <c r="B60" s="1225"/>
      <c r="C60" s="1225"/>
      <c r="D60" s="1225"/>
      <c r="E60" s="1225"/>
      <c r="F60" s="1225"/>
      <c r="G60" s="1225"/>
      <c r="H60" s="1225"/>
      <c r="I60" s="1225"/>
    </row>
    <row r="61" ht="12.75">
      <c r="H61" s="520"/>
    </row>
    <row r="63" ht="12.75">
      <c r="H63" s="353"/>
    </row>
    <row r="67" ht="12.75">
      <c r="H67" s="521"/>
    </row>
    <row r="68" ht="12.75">
      <c r="H68" s="618"/>
    </row>
    <row r="69" ht="12.75">
      <c r="H69" s="618"/>
    </row>
    <row r="78" spans="2:7" ht="12.75">
      <c r="B78" s="524"/>
      <c r="G78" s="525"/>
    </row>
    <row r="79" ht="12.75">
      <c r="G79" s="525"/>
    </row>
    <row r="80" spans="2:7" ht="12.75">
      <c r="B80" s="619"/>
      <c r="G80" s="620"/>
    </row>
    <row r="81" ht="12.75">
      <c r="G81" s="525"/>
    </row>
    <row r="82" ht="12.75">
      <c r="G82" s="526"/>
    </row>
  </sheetData>
  <sheetProtection/>
  <mergeCells count="5">
    <mergeCell ref="A58:I60"/>
    <mergeCell ref="A2:J2"/>
    <mergeCell ref="A1:J1"/>
    <mergeCell ref="A4:J4"/>
    <mergeCell ref="A3:J3"/>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dimension ref="A1:Q169"/>
  <sheetViews>
    <sheetView zoomScalePageLayoutView="0" workbookViewId="0" topLeftCell="A12">
      <selection activeCell="E22" sqref="E22"/>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15" customWidth="1"/>
    <col min="9" max="9" width="17.7109375" style="0" bestFit="1" customWidth="1"/>
    <col min="10" max="10" width="2.140625" style="134" customWidth="1"/>
    <col min="11" max="14" width="17.7109375" style="0" customWidth="1"/>
    <col min="15" max="15" width="16.7109375" style="0" customWidth="1"/>
    <col min="16" max="16" width="2.140625" style="0" customWidth="1"/>
  </cols>
  <sheetData>
    <row r="1" spans="1:16" ht="15">
      <c r="A1" s="1207" t="str">
        <f>'Historic TCOS'!$F$3</f>
        <v>AEPTCo subsidiaries in PJM</v>
      </c>
      <c r="B1" s="1207" t="str">
        <f>'Historic TCOS'!$F$3</f>
        <v>AEPTCo subsidiaries in PJM</v>
      </c>
      <c r="C1" s="1207" t="str">
        <f>'Historic TCOS'!$F$3</f>
        <v>AEPTCo subsidiaries in PJM</v>
      </c>
      <c r="D1" s="1207" t="str">
        <f>'Historic TCOS'!$F$3</f>
        <v>AEPTCo subsidiaries in PJM</v>
      </c>
      <c r="E1" s="1207" t="str">
        <f>'Historic TCOS'!$F$3</f>
        <v>AEPTCo subsidiaries in PJM</v>
      </c>
      <c r="F1" s="1207" t="str">
        <f>'Historic TCOS'!$F$3</f>
        <v>AEPTCo subsidiaries in PJM</v>
      </c>
      <c r="G1" s="1207" t="str">
        <f>'Historic TCOS'!$F$3</f>
        <v>AEPTCo subsidiaries in PJM</v>
      </c>
      <c r="H1" s="1207" t="str">
        <f>'Historic TCOS'!$F$3</f>
        <v>AEPTCo subsidiaries in PJM</v>
      </c>
      <c r="I1" s="1207" t="str">
        <f>'Historic TCOS'!$F$3</f>
        <v>AEPTCo subsidiaries in PJM</v>
      </c>
      <c r="J1" s="1207" t="str">
        <f>'Historic TCOS'!$F$3</f>
        <v>AEPTCo subsidiaries in PJM</v>
      </c>
      <c r="K1" s="1207" t="str">
        <f>'Historic TCOS'!$F$3</f>
        <v>AEPTCo subsidiaries in PJM</v>
      </c>
      <c r="L1" s="1207" t="str">
        <f>'Historic TCOS'!$F$3</f>
        <v>AEPTCo subsidiaries in PJM</v>
      </c>
      <c r="M1" s="1207" t="str">
        <f>'Historic TCOS'!$F$3</f>
        <v>AEPTCo subsidiaries in PJM</v>
      </c>
      <c r="N1" s="1207" t="str">
        <f>'Historic TCOS'!$F$3</f>
        <v>AEPTCo subsidiaries in PJM</v>
      </c>
      <c r="O1" s="1207" t="str">
        <f>'Historic TCOS'!$F$3</f>
        <v>AEPTCo subsidiaries in PJM</v>
      </c>
      <c r="P1" s="134"/>
    </row>
    <row r="2" spans="1:16" ht="15">
      <c r="A2" s="1206" t="str">
        <f>"Cost of Service Formula Rate Using "&amp;'Historic TCOS'!O1&amp;" FF1 Balances"</f>
        <v>Cost of Service Formula Rate Using 2014 FF1 Balances</v>
      </c>
      <c r="B2" s="1206"/>
      <c r="C2" s="1206"/>
      <c r="D2" s="1206"/>
      <c r="E2" s="1206"/>
      <c r="F2" s="1206"/>
      <c r="G2" s="1206"/>
      <c r="H2" s="1206"/>
      <c r="I2" s="1206"/>
      <c r="J2" s="1206"/>
      <c r="K2" s="1206"/>
      <c r="L2" s="1206"/>
      <c r="M2" s="1206"/>
      <c r="N2" s="1206"/>
      <c r="O2" s="1206"/>
      <c r="P2" s="134"/>
    </row>
    <row r="3" spans="1:16" ht="15">
      <c r="A3" s="1206" t="s">
        <v>190</v>
      </c>
      <c r="B3" s="1206"/>
      <c r="C3" s="1206"/>
      <c r="D3" s="1206"/>
      <c r="E3" s="1206"/>
      <c r="F3" s="1206"/>
      <c r="G3" s="1206"/>
      <c r="H3" s="1206"/>
      <c r="I3" s="1206"/>
      <c r="J3" s="1206"/>
      <c r="K3" s="1206"/>
      <c r="L3" s="1206"/>
      <c r="M3" s="1206"/>
      <c r="N3" s="1206"/>
      <c r="O3" s="1206"/>
      <c r="P3" s="134"/>
    </row>
    <row r="4" spans="1:16" ht="15">
      <c r="A4" s="1210" t="str">
        <f>+'WS A  - RB Support '!A4:F4</f>
        <v>AEP KENTUCKY TRANSMISSION COMPANY</v>
      </c>
      <c r="B4" s="1210"/>
      <c r="C4" s="1210"/>
      <c r="D4" s="1210"/>
      <c r="E4" s="1210"/>
      <c r="F4" s="1210"/>
      <c r="G4" s="1210"/>
      <c r="H4" s="1210"/>
      <c r="I4" s="1210"/>
      <c r="J4" s="1210"/>
      <c r="K4" s="1210"/>
      <c r="L4" s="1210"/>
      <c r="M4" s="1210"/>
      <c r="N4" s="1210"/>
      <c r="O4" s="1210"/>
      <c r="P4" s="134"/>
    </row>
    <row r="5" ht="12.75">
      <c r="P5" s="134"/>
    </row>
    <row r="6" spans="1:16" ht="21">
      <c r="A6" s="410"/>
      <c r="B6" s="146"/>
      <c r="C6" s="146"/>
      <c r="N6" s="605" t="str">
        <f>"Page "&amp;P6&amp;" of "</f>
        <v>Page 1 of </v>
      </c>
      <c r="O6" s="606">
        <f>COUNT(P$6:P$59694)</f>
        <v>2</v>
      </c>
      <c r="P6" s="318">
        <v>1</v>
      </c>
    </row>
    <row r="7" spans="3:16" ht="17.25">
      <c r="C7" s="320"/>
      <c r="P7" s="134"/>
    </row>
    <row r="8" ht="12.75">
      <c r="P8" s="134"/>
    </row>
    <row r="9" spans="2:16" ht="15.75">
      <c r="B9" s="319" t="s">
        <v>610</v>
      </c>
      <c r="C9" s="1236" t="str">
        <f>"Calculate Return and Income Taxes with "&amp;F15&amp;" basis point ROE increase for Projects Qualified for Regional Billing."</f>
        <v>Calculate Return and Income Taxes with 0 basis point ROE increase for Projects Qualified for Regional Billing.</v>
      </c>
      <c r="D9" s="1164"/>
      <c r="E9" s="1164"/>
      <c r="F9" s="1164"/>
      <c r="G9" s="1164"/>
      <c r="H9" s="1164"/>
      <c r="P9" s="134"/>
    </row>
    <row r="10" spans="3:16" ht="18.75" customHeight="1">
      <c r="C10" s="1164"/>
      <c r="D10" s="1164"/>
      <c r="E10" s="1164"/>
      <c r="F10" s="1164"/>
      <c r="G10" s="1164"/>
      <c r="H10" s="1164"/>
      <c r="P10" s="134"/>
    </row>
    <row r="11" spans="3:16" ht="15.75" customHeight="1">
      <c r="C11" s="136"/>
      <c r="D11" s="136"/>
      <c r="E11" s="136"/>
      <c r="F11" s="136"/>
      <c r="G11" s="136"/>
      <c r="H11" s="136"/>
      <c r="P11" s="134"/>
    </row>
    <row r="12" spans="3:16" ht="15">
      <c r="C12" s="321" t="str">
        <f>"A.   Determine 'R' with hypothetical "&amp;F15&amp;" basis point increase in ROE for Identified Projects"</f>
        <v>A.   Determine 'R' with hypothetical 0 basis point increase in ROE for Identified Projects</v>
      </c>
      <c r="P12" s="134"/>
    </row>
    <row r="13" ht="12.75">
      <c r="P13" s="134"/>
    </row>
    <row r="14" spans="3:16" ht="12.75">
      <c r="C14" s="322" t="str">
        <f>"   ROE w/o incentives  (Projected TCOS, ln "&amp;'Projected TCOS'!B274&amp;")"</f>
        <v>   ROE w/o incentives  (Projected TCOS, ln 176)</v>
      </c>
      <c r="E14" s="323"/>
      <c r="F14" s="681">
        <f>+'Projected TCOS'!J274</f>
        <v>0.1149</v>
      </c>
      <c r="G14" s="323"/>
      <c r="H14" s="324"/>
      <c r="I14" s="324"/>
      <c r="J14" s="325"/>
      <c r="K14" s="324"/>
      <c r="L14" s="324"/>
      <c r="M14" s="324"/>
      <c r="N14" s="324"/>
      <c r="O14" s="324"/>
      <c r="P14" s="325"/>
    </row>
    <row r="15" spans="3:10" ht="12.75">
      <c r="C15" s="322" t="s">
        <v>860</v>
      </c>
      <c r="E15" s="323"/>
      <c r="F15" s="1150">
        <v>0</v>
      </c>
      <c r="G15" s="659" t="s">
        <v>1004</v>
      </c>
      <c r="H15" s="324"/>
      <c r="I15" s="324"/>
      <c r="J15" s="325"/>
    </row>
    <row r="16" spans="3:10" ht="12.75">
      <c r="C16" s="322" t="str">
        <f>"   ROE with additional "&amp;F15&amp;" basis point incentive"</f>
        <v>   ROE with additional 0 basis point incentive</v>
      </c>
      <c r="D16" s="323"/>
      <c r="E16" s="323"/>
      <c r="F16" s="536">
        <f>IF((F14+(F15/10000)&gt;0.1274),"ERROR",F14+(F15/10000))</f>
        <v>0.1149</v>
      </c>
      <c r="G16" s="755" t="str">
        <f>"&lt;== ROE Including Incentives  Cannot Exceed "&amp;12.74&amp;"% Until July 1, 2012"</f>
        <v>&lt;== ROE Including Incentives  Cannot Exceed 12.74% Until July 1, 2012</v>
      </c>
      <c r="H16" s="324"/>
      <c r="I16" s="324"/>
      <c r="J16" s="325"/>
    </row>
    <row r="17" spans="3:10" ht="12.75">
      <c r="C17" s="322" t="str">
        <f>"   Determine R  ( cost of long term debt, cost of preferred stock and equity percentage is from the Projected TCOS, lns "&amp;'Projected TCOS'!B272&amp;" through"&amp;'Projected TCOS'!B274&amp;")"</f>
        <v>   Determine R  ( cost of long term debt, cost of preferred stock and equity percentage is from the Projected TCOS, lns 174 through176)</v>
      </c>
      <c r="E17" s="323"/>
      <c r="F17" s="326"/>
      <c r="G17" s="323"/>
      <c r="H17" s="324"/>
      <c r="I17" s="324"/>
      <c r="J17" s="325"/>
    </row>
    <row r="18" spans="3:10" ht="12.75">
      <c r="C18" s="325"/>
      <c r="D18" s="329" t="s">
        <v>585</v>
      </c>
      <c r="E18" s="329" t="s">
        <v>584</v>
      </c>
      <c r="F18" s="330" t="s">
        <v>861</v>
      </c>
      <c r="G18" s="323"/>
      <c r="H18" s="324"/>
      <c r="I18" s="324"/>
      <c r="J18" s="325"/>
    </row>
    <row r="19" spans="3:15" ht="13.5" thickBot="1">
      <c r="C19" s="331" t="s">
        <v>866</v>
      </c>
      <c r="D19" s="788">
        <f>+'Projected TCOS'!G272</f>
        <v>0.5124542119171184</v>
      </c>
      <c r="E19" s="332">
        <f>+'Projected TCOS'!J272</f>
        <v>0.0549402624244717</v>
      </c>
      <c r="F19" s="548">
        <f>E19*D19</f>
        <v>0.028154368883252314</v>
      </c>
      <c r="G19" s="323"/>
      <c r="H19" s="324"/>
      <c r="I19" s="333"/>
      <c r="J19" s="334"/>
      <c r="K19" s="741"/>
      <c r="L19" s="741"/>
      <c r="M19" s="741"/>
      <c r="N19" s="741"/>
      <c r="O19" s="741"/>
    </row>
    <row r="20" spans="3:16" ht="12.75">
      <c r="C20" s="331" t="s">
        <v>867</v>
      </c>
      <c r="D20" s="788">
        <f>+'Projected TCOS'!G273</f>
        <v>0</v>
      </c>
      <c r="E20" s="332">
        <f>+'Projected TCOS'!J273</f>
        <v>0</v>
      </c>
      <c r="F20" s="548">
        <f>E20*D20</f>
        <v>0</v>
      </c>
      <c r="G20" s="335"/>
      <c r="H20" s="335"/>
      <c r="I20" s="336"/>
      <c r="J20" s="337"/>
      <c r="K20" s="1230" t="s">
        <v>150</v>
      </c>
      <c r="L20" s="1231"/>
      <c r="M20" s="1231"/>
      <c r="N20" s="1231"/>
      <c r="O20" s="1232"/>
      <c r="P20" s="337"/>
    </row>
    <row r="21" spans="3:16" ht="12.75">
      <c r="C21" s="338" t="s">
        <v>839</v>
      </c>
      <c r="D21" s="788">
        <f>+'Projected TCOS'!G274</f>
        <v>0.4875457880828816</v>
      </c>
      <c r="E21" s="332">
        <f>+F16</f>
        <v>0.1149</v>
      </c>
      <c r="F21" s="549">
        <f>E21*D21</f>
        <v>0.0560190110507231</v>
      </c>
      <c r="G21" s="335"/>
      <c r="H21" s="335"/>
      <c r="I21" s="336"/>
      <c r="J21" s="337"/>
      <c r="K21" s="1233"/>
      <c r="L21" s="1234"/>
      <c r="M21" s="1234"/>
      <c r="N21" s="1234"/>
      <c r="O21" s="1235"/>
      <c r="P21" s="337"/>
    </row>
    <row r="22" spans="3:16" ht="12.75">
      <c r="C22" s="322"/>
      <c r="D22"/>
      <c r="E22" s="339" t="s">
        <v>869</v>
      </c>
      <c r="F22" s="548">
        <f>SUM(F19:F21)</f>
        <v>0.08417337993397542</v>
      </c>
      <c r="G22" s="335"/>
      <c r="H22" s="335"/>
      <c r="I22" s="336"/>
      <c r="J22" s="337"/>
      <c r="K22" s="742"/>
      <c r="L22" s="743"/>
      <c r="M22" s="744" t="s">
        <v>862</v>
      </c>
      <c r="N22" s="744" t="s">
        <v>863</v>
      </c>
      <c r="O22" s="745" t="s">
        <v>865</v>
      </c>
      <c r="P22" s="337"/>
    </row>
    <row r="23" spans="3:16" ht="12.75">
      <c r="C23" s="102"/>
      <c r="D23" s="340"/>
      <c r="E23" s="340"/>
      <c r="F23" s="335"/>
      <c r="G23" s="335"/>
      <c r="H23" s="335"/>
      <c r="I23" s="335"/>
      <c r="J23" s="341"/>
      <c r="K23" s="746"/>
      <c r="L23" s="747"/>
      <c r="M23" s="747"/>
      <c r="N23" s="747"/>
      <c r="O23" s="748"/>
      <c r="P23" s="341"/>
    </row>
    <row r="24" spans="3:16" ht="15.75" thickBot="1">
      <c r="C24" s="321" t="str">
        <f>"B.   Determine Return using 'R' with hypothetical "&amp;F15&amp;" basis point ROE increase for Identified Projects."</f>
        <v>B.   Determine Return using 'R' with hypothetical 0 basis point ROE increase for Identified Projects.</v>
      </c>
      <c r="D24" s="340"/>
      <c r="E24" s="340"/>
      <c r="F24" s="342"/>
      <c r="G24" s="335"/>
      <c r="H24" s="323"/>
      <c r="I24" s="335"/>
      <c r="J24" s="341"/>
      <c r="K24" s="749" t="s">
        <v>870</v>
      </c>
      <c r="L24" s="750">
        <f>+'Historic TCOS'!O2</f>
        <v>2015</v>
      </c>
      <c r="M24" s="751">
        <f>+N87</f>
        <v>0</v>
      </c>
      <c r="N24" s="751">
        <f>+N88</f>
        <v>0</v>
      </c>
      <c r="O24" s="752">
        <f>+N24-M24</f>
        <v>0</v>
      </c>
      <c r="P24" s="341"/>
    </row>
    <row r="25" spans="3:16" ht="12.75">
      <c r="C25" s="325"/>
      <c r="D25" s="340"/>
      <c r="E25" s="340"/>
      <c r="F25" s="341"/>
      <c r="G25" s="341"/>
      <c r="H25" s="341"/>
      <c r="I25" s="341"/>
      <c r="J25" s="341"/>
      <c r="K25" s="753"/>
      <c r="L25" s="753"/>
      <c r="M25" s="753"/>
      <c r="N25" s="753"/>
      <c r="O25" s="753"/>
      <c r="P25" s="341"/>
    </row>
    <row r="26" spans="3:16" ht="12.75">
      <c r="C26" s="322" t="str">
        <f>"   Rate Base  (Projected TCOS, ln "&amp;'Projected TCOS'!B128&amp;")"</f>
        <v>   Rate Base  (Projected TCOS, ln 78)</v>
      </c>
      <c r="D26" s="323"/>
      <c r="F26" s="344">
        <f>+'Projected TCOS'!L128</f>
        <v>26465041.425000004</v>
      </c>
      <c r="G26" s="341"/>
      <c r="H26" s="341"/>
      <c r="I26" s="341"/>
      <c r="J26" s="341"/>
      <c r="K26" s="753"/>
      <c r="L26" s="753"/>
      <c r="M26" s="753"/>
      <c r="N26" s="753"/>
      <c r="O26" s="754"/>
      <c r="P26" s="341"/>
    </row>
    <row r="27" spans="3:16" ht="12.75">
      <c r="C27" s="325" t="s">
        <v>271</v>
      </c>
      <c r="D27" s="346"/>
      <c r="F27" s="548">
        <f>F22</f>
        <v>0.08417337993397542</v>
      </c>
      <c r="G27" s="341"/>
      <c r="H27" s="341"/>
      <c r="I27" s="341"/>
      <c r="J27" s="341"/>
      <c r="K27" s="341"/>
      <c r="L27" s="341"/>
      <c r="M27" s="341"/>
      <c r="N27" s="341"/>
      <c r="O27" s="341"/>
      <c r="P27" s="341"/>
    </row>
    <row r="28" spans="3:16" ht="12.75">
      <c r="C28" s="347" t="s">
        <v>872</v>
      </c>
      <c r="D28" s="347"/>
      <c r="F28" s="336">
        <f>F26*F27</f>
        <v>2227651.9868349237</v>
      </c>
      <c r="G28" s="341"/>
      <c r="H28" s="341"/>
      <c r="I28" s="337"/>
      <c r="J28" s="337"/>
      <c r="K28" s="337"/>
      <c r="L28" s="337"/>
      <c r="M28" s="337"/>
      <c r="N28" s="337"/>
      <c r="O28" s="341"/>
      <c r="P28" s="337"/>
    </row>
    <row r="29" spans="3:16" ht="12.75">
      <c r="C29" s="348"/>
      <c r="D29" s="324"/>
      <c r="E29" s="324"/>
      <c r="F29" s="341"/>
      <c r="G29" s="341"/>
      <c r="H29" s="341"/>
      <c r="I29" s="337"/>
      <c r="J29" s="337"/>
      <c r="K29" s="337"/>
      <c r="L29" s="337"/>
      <c r="M29" s="337"/>
      <c r="N29" s="337"/>
      <c r="O29" s="341"/>
      <c r="P29" s="337"/>
    </row>
    <row r="30" spans="3:16" ht="15">
      <c r="C30" s="321" t="str">
        <f>"C.   Determine Income Taxes using Return with hypothetical "&amp;F15&amp;" basis point ROE increase for Identified Projects."</f>
        <v>C.   Determine Income Taxes using Return with hypothetical 0 basis point ROE increase for Identified Projects.</v>
      </c>
      <c r="D30" s="349"/>
      <c r="E30" s="349"/>
      <c r="F30" s="350"/>
      <c r="G30" s="350"/>
      <c r="H30" s="350"/>
      <c r="I30" s="351"/>
      <c r="J30" s="351"/>
      <c r="K30" s="351"/>
      <c r="L30" s="351"/>
      <c r="M30" s="351"/>
      <c r="N30" s="351"/>
      <c r="O30" s="350"/>
      <c r="P30" s="351"/>
    </row>
    <row r="31" spans="3:16" ht="12.75">
      <c r="C31" s="322"/>
      <c r="D31" s="324"/>
      <c r="E31" s="324"/>
      <c r="F31" s="341"/>
      <c r="G31" s="341"/>
      <c r="H31" s="341"/>
      <c r="I31" s="337"/>
      <c r="J31" s="337"/>
      <c r="K31" s="337"/>
      <c r="L31" s="337"/>
      <c r="M31" s="337"/>
      <c r="N31" s="337"/>
      <c r="O31" s="341"/>
      <c r="P31" s="337"/>
    </row>
    <row r="32" spans="3:16" ht="12.75">
      <c r="C32" s="325" t="s">
        <v>873</v>
      </c>
      <c r="D32" s="339"/>
      <c r="F32" s="352">
        <f>F28</f>
        <v>2227651.9868349237</v>
      </c>
      <c r="G32" s="341"/>
      <c r="H32" s="341"/>
      <c r="I32" s="341"/>
      <c r="J32" s="341"/>
      <c r="K32" s="341"/>
      <c r="L32" s="341"/>
      <c r="M32" s="341"/>
      <c r="N32" s="341"/>
      <c r="O32" s="341"/>
      <c r="P32" s="341"/>
    </row>
    <row r="33" spans="3:16" ht="12.75">
      <c r="C33" s="322" t="str">
        <f>"   Effective Tax Rate  (Projected TCOS, ln "&amp;'Projected TCOS'!B193&amp;")"</f>
        <v>   Effective Tax Rate  (Projected TCOS, ln 124)</v>
      </c>
      <c r="D33" s="353"/>
      <c r="F33" s="372">
        <f>+'Projected TCOS'!G193</f>
        <v>0.4706549751491049</v>
      </c>
      <c r="G33" s="102"/>
      <c r="H33" s="354"/>
      <c r="I33" s="102"/>
      <c r="J33" s="343"/>
      <c r="K33" s="102"/>
      <c r="L33" s="102"/>
      <c r="M33" s="102"/>
      <c r="N33" s="102"/>
      <c r="O33" s="102"/>
      <c r="P33" s="343"/>
    </row>
    <row r="34" spans="3:16" ht="12.75">
      <c r="C34" s="348" t="s">
        <v>874</v>
      </c>
      <c r="D34" s="353"/>
      <c r="F34" s="355">
        <f>F32*F33</f>
        <v>1048455.4905046453</v>
      </c>
      <c r="G34" s="102"/>
      <c r="H34" s="354"/>
      <c r="I34" s="102"/>
      <c r="J34" s="343"/>
      <c r="K34" s="102"/>
      <c r="L34" s="102"/>
      <c r="M34" s="102"/>
      <c r="N34" s="102"/>
      <c r="O34" s="102"/>
      <c r="P34" s="343"/>
    </row>
    <row r="35" spans="3:16" ht="15">
      <c r="C35" s="322" t="s">
        <v>925</v>
      </c>
      <c r="D35" s="72"/>
      <c r="F35" s="356">
        <f>+'Projected TCOS'!L200</f>
        <v>0</v>
      </c>
      <c r="G35" s="72"/>
      <c r="H35" s="72"/>
      <c r="I35" s="72"/>
      <c r="J35" s="72"/>
      <c r="K35" s="72"/>
      <c r="L35" s="72"/>
      <c r="M35" s="72"/>
      <c r="N35" s="72"/>
      <c r="O35" s="41"/>
      <c r="P35" s="72"/>
    </row>
    <row r="36" spans="3:16" ht="15">
      <c r="C36" s="348" t="s">
        <v>875</v>
      </c>
      <c r="D36" s="72"/>
      <c r="F36" s="356">
        <f>F34+F35</f>
        <v>1048455.4905046453</v>
      </c>
      <c r="G36" s="72"/>
      <c r="H36" s="72"/>
      <c r="I36" s="72"/>
      <c r="J36" s="72"/>
      <c r="K36" s="72"/>
      <c r="L36" s="72"/>
      <c r="M36" s="72"/>
      <c r="N36" s="72"/>
      <c r="O36" s="129"/>
      <c r="P36" s="72"/>
    </row>
    <row r="37" spans="3:16" ht="12.75" customHeight="1">
      <c r="C37" s="61"/>
      <c r="D37" s="72"/>
      <c r="E37" s="72"/>
      <c r="F37" s="72"/>
      <c r="G37" s="72"/>
      <c r="H37" s="72"/>
      <c r="I37" s="72"/>
      <c r="J37" s="72"/>
      <c r="K37" s="72"/>
      <c r="L37" s="72"/>
      <c r="M37" s="72"/>
      <c r="N37" s="72"/>
      <c r="O37" s="129"/>
      <c r="P37" s="72"/>
    </row>
    <row r="38" spans="2:16" ht="17.25">
      <c r="B38" s="319" t="s">
        <v>611</v>
      </c>
      <c r="C38" s="320"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129"/>
      <c r="P38" s="72"/>
    </row>
    <row r="39" spans="3:16" ht="18.75" customHeight="1">
      <c r="C39" s="320" t="str">
        <f>"basis point ROE increase."</f>
        <v>basis point ROE increase.</v>
      </c>
      <c r="D39" s="72"/>
      <c r="E39" s="72"/>
      <c r="F39" s="72"/>
      <c r="G39" s="72"/>
      <c r="H39" s="72"/>
      <c r="I39" s="72"/>
      <c r="J39" s="72"/>
      <c r="K39" s="72"/>
      <c r="L39" s="72"/>
      <c r="M39" s="72"/>
      <c r="N39" s="72"/>
      <c r="O39" s="129"/>
      <c r="P39" s="72"/>
    </row>
    <row r="40" spans="3:16" ht="12.75" customHeight="1">
      <c r="C40" s="320"/>
      <c r="D40" s="72"/>
      <c r="E40" s="72"/>
      <c r="F40" s="72"/>
      <c r="G40" s="72"/>
      <c r="H40" s="72"/>
      <c r="I40" s="72"/>
      <c r="J40" s="72"/>
      <c r="K40" s="72"/>
      <c r="L40" s="72"/>
      <c r="M40" s="72"/>
      <c r="N40" s="72"/>
      <c r="O40" s="129"/>
      <c r="P40" s="72"/>
    </row>
    <row r="41" spans="3:16" ht="15">
      <c r="C41" s="321" t="s">
        <v>183</v>
      </c>
      <c r="D41" s="72"/>
      <c r="E41" s="72"/>
      <c r="F41" s="71"/>
      <c r="G41" s="72"/>
      <c r="H41" s="72"/>
      <c r="I41" s="72"/>
      <c r="J41" s="72"/>
      <c r="K41" s="72"/>
      <c r="L41" s="72"/>
      <c r="M41" s="72"/>
      <c r="N41" s="72"/>
      <c r="O41" s="129"/>
      <c r="P41" s="72"/>
    </row>
    <row r="42" spans="2:16" ht="12.75">
      <c r="B42" s="102"/>
      <c r="C42" s="357"/>
      <c r="D42" s="358"/>
      <c r="E42" s="358"/>
      <c r="F42" s="358"/>
      <c r="G42" s="358"/>
      <c r="H42" s="358"/>
      <c r="I42" s="358"/>
      <c r="J42" s="358"/>
      <c r="K42" s="358"/>
      <c r="L42" s="358"/>
      <c r="M42" s="358"/>
      <c r="N42" s="358"/>
      <c r="O42" s="356"/>
      <c r="P42" s="358"/>
    </row>
    <row r="43" spans="2:16" ht="12.75" customHeight="1">
      <c r="B43" s="102"/>
      <c r="C43" s="322" t="str">
        <f>"   Annual Revenue Requirement  (Projected TCOS, ln "&amp;'Projected TCOS'!B11&amp;")"</f>
        <v>   Annual Revenue Requirement  (Projected TCOS, ln 1)</v>
      </c>
      <c r="D43" s="358"/>
      <c r="E43" s="358"/>
      <c r="G43" s="356">
        <f>+'Projected TCOS'!L11</f>
        <v>3317707.7985778847</v>
      </c>
      <c r="H43" s="356"/>
      <c r="I43" s="358"/>
      <c r="J43" s="358"/>
      <c r="K43" s="358"/>
      <c r="L43" s="358"/>
      <c r="M43" s="358"/>
      <c r="N43" s="358"/>
      <c r="O43" s="356"/>
      <c r="P43" s="358"/>
    </row>
    <row r="44" spans="2:16" ht="12.75" customHeight="1">
      <c r="B44" s="102"/>
      <c r="C44" s="322" t="str">
        <f>"   T.E.A. &amp; Lease Payments (Projected TCOS, Lns "&amp;'Projected TCOS'!B168&amp;" &amp; "&amp;'Projected TCOS'!B169&amp;")"</f>
        <v>   T.E.A. &amp; Lease Payments (Projected TCOS, Lns 102 &amp; 103)</v>
      </c>
      <c r="D44" s="358"/>
      <c r="E44" s="358"/>
      <c r="G44" s="356">
        <f>+'Projected TCOS'!L168+'Projected TCOS'!L169</f>
        <v>0</v>
      </c>
      <c r="H44" s="356"/>
      <c r="I44" s="358"/>
      <c r="J44" s="358"/>
      <c r="K44" s="358"/>
      <c r="L44" s="358"/>
      <c r="M44" s="358"/>
      <c r="N44" s="358"/>
      <c r="O44" s="356"/>
      <c r="P44" s="358"/>
    </row>
    <row r="45" spans="2:16" ht="12.75">
      <c r="B45" s="102"/>
      <c r="C45" s="322" t="str">
        <f>"   Return  (Projected TCOS, ln "&amp;'Projected TCOS'!B203&amp;")"</f>
        <v>   Return  (Projected TCOS, ln 132)</v>
      </c>
      <c r="D45" s="358"/>
      <c r="E45" s="358"/>
      <c r="G45" s="359">
        <f>+'Projected TCOS'!L203</f>
        <v>2056687.6886515596</v>
      </c>
      <c r="H45" s="359"/>
      <c r="I45" s="358"/>
      <c r="J45" s="360"/>
      <c r="K45" s="360"/>
      <c r="L45" s="360"/>
      <c r="M45" s="360"/>
      <c r="N45" s="360"/>
      <c r="O45" s="356"/>
      <c r="P45" s="360"/>
    </row>
    <row r="46" spans="2:16" ht="12.75">
      <c r="B46" s="102"/>
      <c r="C46" s="322" t="str">
        <f>"   Income Taxes  (Projected TCOS, ln "&amp;'Projected TCOS'!B201&amp;")"</f>
        <v>   Income Taxes  (Projected TCOS, ln 131)</v>
      </c>
      <c r="D46" s="358"/>
      <c r="E46" s="358"/>
      <c r="G46" s="361">
        <f>+'Projected TCOS'!L201</f>
        <v>967990.2929917698</v>
      </c>
      <c r="H46" s="361"/>
      <c r="I46" s="358"/>
      <c r="J46" s="362"/>
      <c r="K46" s="362"/>
      <c r="L46" s="362"/>
      <c r="M46" s="362"/>
      <c r="N46" s="362"/>
      <c r="O46" s="358"/>
      <c r="P46" s="362"/>
    </row>
    <row r="47" spans="2:16" ht="12.75">
      <c r="B47" s="102"/>
      <c r="C47" s="104" t="s">
        <v>182</v>
      </c>
      <c r="D47" s="358"/>
      <c r="E47" s="358"/>
      <c r="G47" s="359">
        <f>G43-G45-G46-G44</f>
        <v>293029.8169345552</v>
      </c>
      <c r="H47" s="359"/>
      <c r="I47" s="358"/>
      <c r="J47" s="363"/>
      <c r="K47" s="363"/>
      <c r="L47" s="363"/>
      <c r="M47" s="363"/>
      <c r="N47" s="363"/>
      <c r="O47" s="363"/>
      <c r="P47" s="363"/>
    </row>
    <row r="48" spans="2:16" ht="12.75">
      <c r="B48" s="102"/>
      <c r="C48" s="357"/>
      <c r="D48" s="358"/>
      <c r="E48" s="358"/>
      <c r="F48" s="356"/>
      <c r="G48" s="364"/>
      <c r="H48" s="365"/>
      <c r="I48" s="358"/>
      <c r="J48" s="365"/>
      <c r="K48" s="365"/>
      <c r="L48" s="365"/>
      <c r="M48" s="365"/>
      <c r="N48" s="365"/>
      <c r="O48" s="365"/>
      <c r="P48" s="365"/>
    </row>
    <row r="49" spans="2:16" ht="15">
      <c r="B49" s="102"/>
      <c r="C49" s="321" t="str">
        <f>"B.   Determine Annual Revenue Requirement with hypothetical "&amp;F15&amp;" basis point increase in ROE."</f>
        <v>B.   Determine Annual Revenue Requirement with hypothetical 0 basis point increase in ROE.</v>
      </c>
      <c r="D49" s="366"/>
      <c r="E49" s="366"/>
      <c r="F49" s="356"/>
      <c r="G49" s="364"/>
      <c r="H49" s="365"/>
      <c r="I49" s="365"/>
      <c r="J49" s="365"/>
      <c r="K49" s="365"/>
      <c r="L49" s="365"/>
      <c r="M49" s="365"/>
      <c r="N49" s="365"/>
      <c r="O49" s="365"/>
      <c r="P49" s="365"/>
    </row>
    <row r="50" spans="2:16" ht="12.75">
      <c r="B50" s="102"/>
      <c r="C50" s="357"/>
      <c r="D50" s="366"/>
      <c r="E50" s="366"/>
      <c r="F50" s="356"/>
      <c r="G50" s="364"/>
      <c r="H50" s="365"/>
      <c r="I50" s="365"/>
      <c r="J50" s="365"/>
      <c r="K50" s="365"/>
      <c r="L50" s="365"/>
      <c r="M50" s="365"/>
      <c r="N50" s="365"/>
      <c r="O50" s="365"/>
      <c r="P50" s="365"/>
    </row>
    <row r="51" spans="2:16" ht="12.75">
      <c r="B51" s="102"/>
      <c r="C51" s="357" t="str">
        <f>C47</f>
        <v>   Annual Revenue Requirement, Less TEA Charges, Return and Taxes</v>
      </c>
      <c r="D51" s="366"/>
      <c r="E51" s="366"/>
      <c r="G51" s="356">
        <f>G47</f>
        <v>293029.8169345552</v>
      </c>
      <c r="H51" s="356"/>
      <c r="I51" s="358"/>
      <c r="J51" s="358"/>
      <c r="K51" s="358"/>
      <c r="L51" s="358"/>
      <c r="M51" s="358"/>
      <c r="N51" s="358"/>
      <c r="O51" s="367"/>
      <c r="P51" s="358"/>
    </row>
    <row r="52" spans="2:16" ht="12.75">
      <c r="B52" s="102"/>
      <c r="C52" s="325" t="s">
        <v>922</v>
      </c>
      <c r="D52" s="368"/>
      <c r="E52" s="104"/>
      <c r="G52" s="369">
        <f>F28</f>
        <v>2227651.9868349237</v>
      </c>
      <c r="H52" s="369"/>
      <c r="I52" s="358"/>
      <c r="J52" s="104"/>
      <c r="K52" s="104"/>
      <c r="L52" s="104"/>
      <c r="M52" s="104"/>
      <c r="N52" s="104"/>
      <c r="O52" s="104"/>
      <c r="P52" s="104"/>
    </row>
    <row r="53" spans="2:16" ht="12.75" customHeight="1">
      <c r="B53" s="102"/>
      <c r="C53" s="322" t="s">
        <v>888</v>
      </c>
      <c r="D53" s="358"/>
      <c r="E53" s="358"/>
      <c r="G53" s="361">
        <f>F36</f>
        <v>1048455.4905046453</v>
      </c>
      <c r="H53" s="361"/>
      <c r="I53" s="358"/>
      <c r="J53" s="343"/>
      <c r="K53" s="102"/>
      <c r="L53" s="102"/>
      <c r="M53" s="102"/>
      <c r="N53" s="102"/>
      <c r="O53" s="102"/>
      <c r="P53" s="343"/>
    </row>
    <row r="54" spans="2:16" ht="12.75">
      <c r="B54" s="102"/>
      <c r="C54" s="104" t="str">
        <f>"   Annual Revenue Requirement, with "&amp;F15&amp;" Basis Point ROE increase"</f>
        <v>   Annual Revenue Requirement, with 0 Basis Point ROE increase</v>
      </c>
      <c r="D54" s="353"/>
      <c r="E54" s="102"/>
      <c r="G54" s="355">
        <f>SUM(G51:G53)</f>
        <v>3569137.2942741243</v>
      </c>
      <c r="H54" s="355"/>
      <c r="I54" s="358"/>
      <c r="J54" s="343"/>
      <c r="K54" s="102"/>
      <c r="L54" s="102"/>
      <c r="M54" s="102"/>
      <c r="N54" s="102"/>
      <c r="O54" s="102"/>
      <c r="P54" s="343"/>
    </row>
    <row r="55" spans="2:16" ht="12.75">
      <c r="B55" s="102"/>
      <c r="C55" s="322" t="str">
        <f>"   Depreciation  (Projected TCOS, ln "&amp;'Projected TCOS'!B175&amp;")"</f>
        <v>   Depreciation  (Projected TCOS, ln 108)</v>
      </c>
      <c r="D55" s="353"/>
      <c r="E55" s="102"/>
      <c r="G55" s="371">
        <f>+'Projected TCOS'!L175</f>
        <v>0</v>
      </c>
      <c r="H55" s="371"/>
      <c r="I55" s="358"/>
      <c r="J55" s="343"/>
      <c r="K55" s="102"/>
      <c r="L55" s="102"/>
      <c r="M55" s="102"/>
      <c r="N55" s="102"/>
      <c r="O55" s="102"/>
      <c r="P55" s="343"/>
    </row>
    <row r="56" spans="2:16" ht="12.75">
      <c r="B56" s="102"/>
      <c r="C56" s="104" t="str">
        <f>"   Annual Rev. Req, w/"&amp;F15&amp;" Basis Point ROE increase, less Depreciation"</f>
        <v>   Annual Rev. Req, w/0 Basis Point ROE increase, less Depreciation</v>
      </c>
      <c r="D56" s="353"/>
      <c r="E56" s="102"/>
      <c r="G56" s="355">
        <f>G54-G55</f>
        <v>3569137.2942741243</v>
      </c>
      <c r="H56" s="355"/>
      <c r="I56" s="358"/>
      <c r="J56" s="343"/>
      <c r="K56" s="102"/>
      <c r="L56" s="102"/>
      <c r="M56" s="102"/>
      <c r="N56" s="102"/>
      <c r="O56" s="102"/>
      <c r="P56" s="343"/>
    </row>
    <row r="57" spans="2:16" ht="12.75">
      <c r="B57" s="102"/>
      <c r="C57" s="102"/>
      <c r="D57" s="353"/>
      <c r="E57" s="102"/>
      <c r="F57" s="102"/>
      <c r="G57" s="102"/>
      <c r="H57" s="354"/>
      <c r="I57" s="358"/>
      <c r="J57" s="343"/>
      <c r="K57" s="102"/>
      <c r="L57" s="102"/>
      <c r="M57" s="102"/>
      <c r="N57" s="102"/>
      <c r="O57" s="102"/>
      <c r="P57" s="343"/>
    </row>
    <row r="58" spans="2:16" ht="15">
      <c r="B58" s="102"/>
      <c r="C58" s="321" t="str">
        <f>"C.   Determine FCR with hypothetical "&amp;F15&amp;" basis point ROE increase."</f>
        <v>C.   Determine FCR with hypothetical 0 basis point ROE increase.</v>
      </c>
      <c r="D58" s="353"/>
      <c r="E58" s="102"/>
      <c r="F58" s="102"/>
      <c r="G58" s="102"/>
      <c r="H58" s="354"/>
      <c r="I58" s="358"/>
      <c r="J58" s="343"/>
      <c r="K58" s="102"/>
      <c r="L58" s="102"/>
      <c r="M58" s="102"/>
      <c r="N58" s="102"/>
      <c r="O58" s="102"/>
      <c r="P58" s="343"/>
    </row>
    <row r="59" spans="2:16" ht="12.75">
      <c r="B59" s="102"/>
      <c r="C59" s="102"/>
      <c r="D59" s="353"/>
      <c r="E59" s="102"/>
      <c r="F59" s="102"/>
      <c r="G59" s="102"/>
      <c r="H59" s="354"/>
      <c r="I59" s="358"/>
      <c r="J59" s="343"/>
      <c r="K59" s="102"/>
      <c r="L59" s="102"/>
      <c r="M59" s="102"/>
      <c r="N59" s="102"/>
      <c r="O59" s="102"/>
      <c r="P59" s="343"/>
    </row>
    <row r="60" spans="2:16" ht="12.75">
      <c r="B60" s="102"/>
      <c r="C60" s="322" t="str">
        <f>"   Net Transmission Plant  (Projected TCOS, ln "&amp;'Projected TCOS'!B91&amp;")"</f>
        <v>   Net Transmission Plant  (Projected TCOS, ln 48)</v>
      </c>
      <c r="D60" s="353"/>
      <c r="E60" s="102"/>
      <c r="G60" s="355">
        <f>+'Projected TCOS'!L91</f>
        <v>0</v>
      </c>
      <c r="H60" s="355"/>
      <c r="I60" s="358"/>
      <c r="J60" s="343"/>
      <c r="K60" s="102"/>
      <c r="L60" s="102"/>
      <c r="M60" s="102"/>
      <c r="N60" s="102"/>
      <c r="O60" s="102"/>
      <c r="P60" s="343"/>
    </row>
    <row r="61" spans="2:16" ht="12.75">
      <c r="B61" s="102"/>
      <c r="C61" s="104" t="str">
        <f>"   Annual Revenue Requirement, with "&amp;F15&amp;" Basis Point ROE increase"</f>
        <v>   Annual Revenue Requirement, with 0 Basis Point ROE increase</v>
      </c>
      <c r="D61" s="353"/>
      <c r="E61" s="102"/>
      <c r="G61" s="355">
        <f>G54</f>
        <v>3569137.2942741243</v>
      </c>
      <c r="H61" s="355"/>
      <c r="I61" s="358"/>
      <c r="J61" s="343"/>
      <c r="K61" s="102"/>
      <c r="L61" s="102"/>
      <c r="M61" s="102"/>
      <c r="N61" s="102"/>
      <c r="O61" s="102"/>
      <c r="P61" s="343"/>
    </row>
    <row r="62" spans="2:16" ht="12.75">
      <c r="B62" s="102"/>
      <c r="C62" s="104" t="str">
        <f>"   FCR with "&amp;F15&amp;" Basis Point increase in ROE"</f>
        <v>   FCR with 0 Basis Point increase in ROE</v>
      </c>
      <c r="D62" s="353"/>
      <c r="E62" s="102"/>
      <c r="G62" s="372">
        <f>IF(G60=0,0,G61/G60)</f>
        <v>0</v>
      </c>
      <c r="H62" s="372"/>
      <c r="I62" s="358"/>
      <c r="J62" s="343"/>
      <c r="K62" s="102"/>
      <c r="L62" s="102"/>
      <c r="M62" s="102"/>
      <c r="N62" s="102"/>
      <c r="O62" s="102"/>
      <c r="P62" s="343"/>
    </row>
    <row r="63" spans="2:16" ht="12.75">
      <c r="B63" s="102"/>
      <c r="C63" s="707"/>
      <c r="D63" s="353"/>
      <c r="E63" s="102"/>
      <c r="G63" s="101"/>
      <c r="H63" s="101"/>
      <c r="I63" s="358"/>
      <c r="J63" s="343"/>
      <c r="K63" s="102"/>
      <c r="L63" s="102"/>
      <c r="M63" s="102"/>
      <c r="N63" s="102"/>
      <c r="O63" s="102"/>
      <c r="P63" s="343"/>
    </row>
    <row r="64" spans="2:16" ht="12.75">
      <c r="B64" s="102"/>
      <c r="C64" s="104" t="str">
        <f>"   Annual Rev. Req, w / "&amp;F15&amp;" Basis Point ROE increase, less Dep."</f>
        <v>   Annual Rev. Req, w / 0 Basis Point ROE increase, less Dep.</v>
      </c>
      <c r="D64" s="353"/>
      <c r="E64" s="102"/>
      <c r="G64" s="355">
        <f>G56</f>
        <v>3569137.2942741243</v>
      </c>
      <c r="H64" s="355"/>
      <c r="I64" s="358"/>
      <c r="J64" s="343"/>
      <c r="K64" s="102"/>
      <c r="L64" s="102"/>
      <c r="M64" s="102"/>
      <c r="N64" s="102"/>
      <c r="O64" s="102"/>
      <c r="P64" s="343"/>
    </row>
    <row r="65" spans="2:16" ht="12.75">
      <c r="B65" s="102"/>
      <c r="C65" s="104" t="str">
        <f>"   FCR with "&amp;F15&amp;" Basis Point ROE increase, less Depreciation"</f>
        <v>   FCR with 0 Basis Point ROE increase, less Depreciation</v>
      </c>
      <c r="D65" s="353"/>
      <c r="E65" s="102"/>
      <c r="G65" s="372">
        <f>IF(G60=0,0,G64/G60)</f>
        <v>0</v>
      </c>
      <c r="H65" s="372"/>
      <c r="I65" s="837"/>
      <c r="J65" s="343"/>
      <c r="K65" s="102"/>
      <c r="L65" s="102"/>
      <c r="M65" s="102"/>
      <c r="N65" s="102"/>
      <c r="O65" s="102"/>
      <c r="P65" s="343"/>
    </row>
    <row r="66" spans="2:16" ht="12.75">
      <c r="B66" s="102"/>
      <c r="C66" s="322" t="str">
        <f>"   FCR less Depreciation  (Projected TCOS, ln "&amp;'Projected TCOS'!B27&amp;")"</f>
        <v>   FCR less Depreciation  (Projected TCOS, ln 9)</v>
      </c>
      <c r="D66" s="353"/>
      <c r="E66" s="102"/>
      <c r="G66" s="373">
        <f>+'Projected TCOS'!L27</f>
        <v>0.12165993744214068</v>
      </c>
      <c r="H66" s="373"/>
      <c r="I66" s="837"/>
      <c r="J66" s="343"/>
      <c r="K66" s="102"/>
      <c r="L66" s="102"/>
      <c r="M66" s="102"/>
      <c r="N66" s="102"/>
      <c r="O66" s="102"/>
      <c r="P66" s="343"/>
    </row>
    <row r="67" spans="2:16" ht="12.75">
      <c r="B67" s="102"/>
      <c r="C67" s="104" t="str">
        <f>"   Incremental FCR with "&amp;F15&amp;" Basis Point ROE increase, less Depreciation"</f>
        <v>   Incremental FCR with 0 Basis Point ROE increase, less Depreciation</v>
      </c>
      <c r="D67" s="353"/>
      <c r="E67" s="102"/>
      <c r="G67" s="372">
        <f>G65-G66</f>
        <v>-0.12165993744214068</v>
      </c>
      <c r="H67" s="372"/>
      <c r="I67" s="358"/>
      <c r="J67" s="343"/>
      <c r="K67" s="102"/>
      <c r="L67" s="102"/>
      <c r="M67" s="102"/>
      <c r="N67" s="102"/>
      <c r="O67" s="102"/>
      <c r="P67" s="343"/>
    </row>
    <row r="68" spans="2:16" ht="12.75">
      <c r="B68" s="102"/>
      <c r="C68" s="104"/>
      <c r="D68" s="353"/>
      <c r="E68" s="102"/>
      <c r="F68" s="372"/>
      <c r="G68" s="102"/>
      <c r="H68" s="354"/>
      <c r="I68" s="102"/>
      <c r="J68" s="343"/>
      <c r="K68" s="102"/>
      <c r="L68" s="102"/>
      <c r="M68" s="102"/>
      <c r="N68" s="102"/>
      <c r="O68" s="102"/>
      <c r="P68" s="343"/>
    </row>
    <row r="69" spans="2:16" ht="17.25">
      <c r="B69" s="319" t="s">
        <v>612</v>
      </c>
      <c r="C69" s="320" t="s">
        <v>889</v>
      </c>
      <c r="D69" s="353"/>
      <c r="E69" s="102"/>
      <c r="F69" s="372"/>
      <c r="G69" s="102"/>
      <c r="H69" s="354"/>
      <c r="I69" s="102"/>
      <c r="J69" s="343"/>
      <c r="K69" s="102"/>
      <c r="L69" s="102"/>
      <c r="M69" s="102"/>
      <c r="N69" s="102"/>
      <c r="O69" s="102"/>
      <c r="P69" s="343"/>
    </row>
    <row r="70" spans="2:16" ht="12.75">
      <c r="B70" s="102"/>
      <c r="C70" s="104"/>
      <c r="D70" s="353"/>
      <c r="E70" s="102"/>
      <c r="F70" s="372"/>
      <c r="G70" s="102"/>
      <c r="H70" s="354"/>
      <c r="I70" s="102"/>
      <c r="J70" s="343"/>
      <c r="K70" s="102"/>
      <c r="L70" s="102"/>
      <c r="M70" s="102"/>
      <c r="N70" s="102"/>
      <c r="O70" s="102"/>
      <c r="P70" s="343"/>
    </row>
    <row r="71" spans="2:7" ht="12.75">
      <c r="B71" s="102"/>
      <c r="C71" s="104" t="str">
        <f>"Transmission Plant @ Beginning of Historic Period ("&amp;'Historic TCOS'!O1&amp;") (P.206, ln 58,(b)):"</f>
        <v>Transmission Plant @ Beginning of Historic Period (2014) (P.206, ln 58,(b)):</v>
      </c>
      <c r="D71" s="353"/>
      <c r="G71" s="481">
        <f>+'WS A  - RB Support '!F19</f>
        <v>0</v>
      </c>
    </row>
    <row r="72" spans="2:7" ht="12.75">
      <c r="B72" s="102"/>
      <c r="C72" s="104" t="str">
        <f>"Transmission Plant @ End of Historic Period ("&amp;'Historic TCOS'!O1&amp;") (P.207, ln 58,(g)):"</f>
        <v>Transmission Plant @ End of Historic Period (2014) (P.207, ln 58,(g)):</v>
      </c>
      <c r="D72" s="353"/>
      <c r="G72" s="512">
        <f>+'WS A  - RB Support '!E19</f>
        <v>0</v>
      </c>
    </row>
    <row r="73" spans="2:7" ht="12.75">
      <c r="B73" s="102"/>
      <c r="C73" s="104" t="s">
        <v>212</v>
      </c>
      <c r="D73" s="353"/>
      <c r="G73" s="354">
        <f>+G72+G71</f>
        <v>0</v>
      </c>
    </row>
    <row r="74" spans="2:16" ht="12.75">
      <c r="B74" s="102"/>
      <c r="C74" s="104" t="str">
        <f>+"Average Transmission Plant Balance for "&amp;'Historic TCOS'!O1&amp;""</f>
        <v>Average Transmission Plant Balance for 2014</v>
      </c>
      <c r="D74" s="353"/>
      <c r="G74" s="354">
        <f>+G73/2</f>
        <v>0</v>
      </c>
      <c r="I74" s="102"/>
      <c r="J74" s="343"/>
      <c r="K74" s="377"/>
      <c r="L74" s="102"/>
      <c r="M74" s="102"/>
      <c r="N74" s="102"/>
      <c r="O74" s="102"/>
      <c r="P74" s="343"/>
    </row>
    <row r="75" spans="2:16" ht="12.75">
      <c r="B75" s="102"/>
      <c r="C75" s="104" t="str">
        <f>"Annual Depreciation Rate (Projected TCOS, ln "&amp;'Projected TCOS'!B175&amp;")"</f>
        <v>Annual Depreciation Rate (Projected TCOS, ln 108)</v>
      </c>
      <c r="D75" s="353"/>
      <c r="E75" s="102"/>
      <c r="G75" s="481">
        <f>+'Projected TCOS'!G175</f>
        <v>0</v>
      </c>
      <c r="H75" s="354"/>
      <c r="I75" s="102"/>
      <c r="J75" s="343"/>
      <c r="K75" s="102"/>
      <c r="L75" s="102"/>
      <c r="M75" s="102"/>
      <c r="N75" s="102"/>
      <c r="O75" s="102"/>
      <c r="P75" s="343"/>
    </row>
    <row r="76" spans="2:17" ht="12.75" customHeight="1">
      <c r="B76" s="102"/>
      <c r="C76" s="104" t="s">
        <v>890</v>
      </c>
      <c r="D76" s="353"/>
      <c r="E76" s="102"/>
      <c r="G76" s="947">
        <f>IF(G74=0,ROUND('WS P Dep. Rates'!D31,4),G75/G74)</f>
        <v>0.017</v>
      </c>
      <c r="H76" s="374"/>
      <c r="I76" s="1237"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J76" s="1237"/>
      <c r="K76" s="1237"/>
      <c r="L76" s="1237"/>
      <c r="M76" s="1237"/>
      <c r="N76" s="1237"/>
      <c r="O76" s="1237"/>
      <c r="P76" s="136"/>
      <c r="Q76" s="136"/>
    </row>
    <row r="77" spans="2:17" ht="12.75">
      <c r="B77" s="102"/>
      <c r="C77" s="104" t="s">
        <v>891</v>
      </c>
      <c r="D77" s="353"/>
      <c r="E77" s="102"/>
      <c r="G77" s="948">
        <f>IF(G76=0,0,1/G76)</f>
        <v>58.8235294117647</v>
      </c>
      <c r="H77" s="354"/>
      <c r="I77" s="1237"/>
      <c r="J77" s="1237"/>
      <c r="K77" s="1237"/>
      <c r="L77" s="1237"/>
      <c r="M77" s="1237"/>
      <c r="N77" s="1237"/>
      <c r="O77" s="1237"/>
      <c r="P77" s="136"/>
      <c r="Q77" s="136"/>
    </row>
    <row r="78" spans="2:17" ht="12.75">
      <c r="B78" s="102"/>
      <c r="C78" s="104" t="s">
        <v>892</v>
      </c>
      <c r="D78" s="353"/>
      <c r="E78" s="102"/>
      <c r="G78" s="949">
        <f>G77</f>
        <v>58.8235294117647</v>
      </c>
      <c r="H78" s="354"/>
      <c r="I78" s="1237"/>
      <c r="J78" s="1237"/>
      <c r="K78" s="1237"/>
      <c r="L78" s="1237"/>
      <c r="M78" s="1237"/>
      <c r="N78" s="1237"/>
      <c r="O78" s="1237"/>
      <c r="P78" s="136"/>
      <c r="Q78" s="136"/>
    </row>
    <row r="79" spans="2:15" ht="12.75">
      <c r="B79" s="102"/>
      <c r="C79" s="104"/>
      <c r="D79" s="353"/>
      <c r="E79" s="102"/>
      <c r="G79" s="375"/>
      <c r="H79" s="354"/>
      <c r="I79" s="1237"/>
      <c r="J79" s="1237"/>
      <c r="K79" s="1237"/>
      <c r="L79" s="1237"/>
      <c r="M79" s="1237"/>
      <c r="N79" s="1237"/>
      <c r="O79" s="1237"/>
    </row>
    <row r="80" spans="3:8" ht="12.75">
      <c r="C80" s="413"/>
      <c r="D80" s="398"/>
      <c r="E80" s="398"/>
      <c r="F80" s="398"/>
      <c r="G80" s="377"/>
      <c r="H80" s="377"/>
    </row>
    <row r="81" spans="1:16" ht="21">
      <c r="A81" s="314" t="str">
        <f>""&amp;A4&amp;" Worksheet J -  ATRR PROJECTED Calculation for PJM Projects Charged to Benefiting Zones"</f>
        <v>AEP KENTUCKY TRANSMISSION COMPANY Worksheet J -  ATRR PROJECTED Calculation for PJM Projects Charged to Benefiting Zones</v>
      </c>
      <c r="B81" s="102"/>
      <c r="C81" s="104"/>
      <c r="D81" s="353"/>
      <c r="E81" s="102"/>
      <c r="F81" s="372"/>
      <c r="G81" s="102"/>
      <c r="H81" s="354"/>
      <c r="K81" s="133"/>
      <c r="L81" s="133"/>
      <c r="M81" s="133"/>
      <c r="N81" s="605" t="str">
        <f>"Page "&amp;SUM(P$6:P81)&amp;" of "</f>
        <v>Page 2 of </v>
      </c>
      <c r="O81" s="606">
        <f>COUNT(P$6:P$59694)</f>
        <v>2</v>
      </c>
      <c r="P81" s="376">
        <v>1</v>
      </c>
    </row>
    <row r="82" spans="2:16" ht="12.75">
      <c r="B82" s="102"/>
      <c r="C82" s="102"/>
      <c r="D82" s="353"/>
      <c r="E82" s="102"/>
      <c r="F82" s="102"/>
      <c r="G82" s="102"/>
      <c r="H82" s="354"/>
      <c r="I82" s="102"/>
      <c r="J82" s="343"/>
      <c r="K82" s="102"/>
      <c r="L82" s="102"/>
      <c r="M82" s="102"/>
      <c r="N82" s="102"/>
      <c r="O82" s="102"/>
      <c r="P82" s="343"/>
    </row>
    <row r="83" spans="2:16" ht="16.5">
      <c r="B83" s="319" t="s">
        <v>613</v>
      </c>
      <c r="C83" s="414" t="s">
        <v>913</v>
      </c>
      <c r="D83" s="353"/>
      <c r="E83" s="102"/>
      <c r="F83" s="102"/>
      <c r="G83" s="102"/>
      <c r="H83" s="354"/>
      <c r="I83" s="354"/>
      <c r="J83" s="377"/>
      <c r="K83" s="354"/>
      <c r="L83" s="354"/>
      <c r="M83" s="354"/>
      <c r="N83" s="354"/>
      <c r="O83" s="102"/>
      <c r="P83" s="377"/>
    </row>
    <row r="84" spans="2:16" ht="15" customHeight="1">
      <c r="B84" s="319"/>
      <c r="C84" s="320"/>
      <c r="D84" s="353"/>
      <c r="E84" s="102"/>
      <c r="F84" s="102"/>
      <c r="G84" s="102"/>
      <c r="H84" s="354"/>
      <c r="I84" s="354"/>
      <c r="J84" s="377"/>
      <c r="K84" s="354"/>
      <c r="L84" s="354"/>
      <c r="M84" s="354"/>
      <c r="N84" s="354"/>
      <c r="O84" s="102"/>
      <c r="P84" s="377"/>
    </row>
    <row r="85" spans="2:16" ht="17.25">
      <c r="B85" s="319"/>
      <c r="C85" s="320" t="s">
        <v>914</v>
      </c>
      <c r="D85" s="353"/>
      <c r="E85" s="102"/>
      <c r="F85" s="102"/>
      <c r="G85" s="102"/>
      <c r="H85" s="354"/>
      <c r="I85" s="354"/>
      <c r="J85" s="377"/>
      <c r="K85" s="354"/>
      <c r="L85" s="354"/>
      <c r="M85" s="354"/>
      <c r="N85" s="354"/>
      <c r="O85" s="102"/>
      <c r="P85" s="377"/>
    </row>
    <row r="86" spans="3:16" ht="15" thickBot="1">
      <c r="C86" s="61"/>
      <c r="D86" s="353"/>
      <c r="E86" s="102"/>
      <c r="F86" s="102"/>
      <c r="G86" s="102"/>
      <c r="H86" s="354"/>
      <c r="I86" s="354"/>
      <c r="J86" s="377"/>
      <c r="K86" s="354"/>
      <c r="L86" s="354"/>
      <c r="M86" s="354"/>
      <c r="N86" s="354"/>
      <c r="O86" s="102"/>
      <c r="P86" s="377"/>
    </row>
    <row r="87" spans="3:16" ht="15">
      <c r="C87" s="321" t="s">
        <v>915</v>
      </c>
      <c r="D87" s="353"/>
      <c r="E87" s="102"/>
      <c r="F87" s="102"/>
      <c r="G87" s="793"/>
      <c r="H87" s="102" t="s">
        <v>893</v>
      </c>
      <c r="I87" s="102"/>
      <c r="J87" s="343"/>
      <c r="K87" s="718" t="s">
        <v>919</v>
      </c>
      <c r="L87" s="719"/>
      <c r="M87" s="720"/>
      <c r="N87" s="721">
        <f>IF(I93=0,0,VLOOKUP(I93,C100:O159,5))</f>
        <v>0</v>
      </c>
      <c r="O87" s="102"/>
      <c r="P87" s="343"/>
    </row>
    <row r="88" spans="3:16" ht="15">
      <c r="C88" s="321"/>
      <c r="D88" s="353"/>
      <c r="E88" s="102"/>
      <c r="F88" s="102"/>
      <c r="G88" s="102"/>
      <c r="H88" s="378"/>
      <c r="I88" s="378"/>
      <c r="J88" s="379"/>
      <c r="K88" s="722" t="s">
        <v>920</v>
      </c>
      <c r="L88" s="723"/>
      <c r="M88" s="343"/>
      <c r="N88" s="724">
        <f>IF(I93=0,0,VLOOKUP(I93,C100:O159,6))</f>
        <v>0</v>
      </c>
      <c r="O88" s="102"/>
      <c r="P88" s="379"/>
    </row>
    <row r="89" spans="3:16" ht="13.5" thickBot="1">
      <c r="C89" s="380" t="s">
        <v>916</v>
      </c>
      <c r="D89" s="799"/>
      <c r="E89" s="579"/>
      <c r="F89" s="579"/>
      <c r="G89" s="579"/>
      <c r="H89" s="354"/>
      <c r="I89" s="354"/>
      <c r="J89" s="377"/>
      <c r="K89" s="725" t="s">
        <v>149</v>
      </c>
      <c r="L89" s="726"/>
      <c r="M89" s="726"/>
      <c r="N89" s="407">
        <f>+N88-N87</f>
        <v>0</v>
      </c>
      <c r="O89" s="102"/>
      <c r="P89" s="377"/>
    </row>
    <row r="90" spans="3:16" ht="12.75">
      <c r="C90" s="380"/>
      <c r="D90" s="416"/>
      <c r="E90" s="375"/>
      <c r="F90" s="375"/>
      <c r="G90" s="383"/>
      <c r="H90" s="354"/>
      <c r="I90" s="354"/>
      <c r="J90" s="377"/>
      <c r="K90" s="354"/>
      <c r="L90" s="354"/>
      <c r="M90" s="354"/>
      <c r="N90" s="354"/>
      <c r="O90" s="102"/>
      <c r="P90" s="377"/>
    </row>
    <row r="91" spans="3:16" ht="13.5" thickBot="1">
      <c r="C91" s="381"/>
      <c r="D91" s="382"/>
      <c r="E91" s="383"/>
      <c r="F91" s="383"/>
      <c r="G91" s="383"/>
      <c r="H91" s="383"/>
      <c r="I91" s="383"/>
      <c r="J91" s="384"/>
      <c r="K91" s="383"/>
      <c r="L91" s="383"/>
      <c r="M91" s="383"/>
      <c r="N91" s="383"/>
      <c r="O91" s="101"/>
      <c r="P91" s="384"/>
    </row>
    <row r="92" spans="3:16" ht="13.5" thickBot="1">
      <c r="C92" s="417" t="s">
        <v>917</v>
      </c>
      <c r="D92" s="418"/>
      <c r="E92" s="418"/>
      <c r="F92" s="418"/>
      <c r="G92" s="418"/>
      <c r="H92" s="418"/>
      <c r="I92" s="690"/>
      <c r="J92" s="419"/>
      <c r="K92" s="102"/>
      <c r="L92" s="102"/>
      <c r="M92" s="102"/>
      <c r="N92" s="102"/>
      <c r="O92" s="727"/>
      <c r="P92" s="419"/>
    </row>
    <row r="93" spans="3:16" ht="16.5">
      <c r="C93" s="386" t="s">
        <v>894</v>
      </c>
      <c r="D93" s="795">
        <v>0</v>
      </c>
      <c r="E93" s="104" t="s">
        <v>895</v>
      </c>
      <c r="G93" s="385"/>
      <c r="H93" s="385"/>
      <c r="I93" s="792"/>
      <c r="J93" s="103"/>
      <c r="K93" s="1229" t="s">
        <v>158</v>
      </c>
      <c r="L93" s="1229"/>
      <c r="M93" s="1229"/>
      <c r="N93" s="1229"/>
      <c r="O93" s="1229"/>
      <c r="P93" s="103"/>
    </row>
    <row r="94" spans="3:16" ht="12.75">
      <c r="C94" s="386" t="s">
        <v>897</v>
      </c>
      <c r="D94" s="796"/>
      <c r="E94" s="386" t="s">
        <v>898</v>
      </c>
      <c r="F94" s="385"/>
      <c r="H94"/>
      <c r="I94" s="794">
        <f>IF(G87="",0,$F$15)</f>
        <v>0</v>
      </c>
      <c r="J94" s="280"/>
      <c r="K94" s="377" t="s">
        <v>158</v>
      </c>
      <c r="P94" s="280"/>
    </row>
    <row r="95" spans="3:16" ht="12.75">
      <c r="C95" s="386" t="s">
        <v>899</v>
      </c>
      <c r="D95" s="795"/>
      <c r="E95" s="386" t="s">
        <v>900</v>
      </c>
      <c r="F95" s="385"/>
      <c r="H95"/>
      <c r="I95" s="387">
        <f>$G$66</f>
        <v>0.12165993744214068</v>
      </c>
      <c r="J95" s="388"/>
      <c r="K95" t="str">
        <f>"          INPUT PROJECTED ARR (WITH &amp; WITHOUT INCENTIVES) FROM EACH PRIOR YEAR"</f>
        <v>          INPUT PROJECTED ARR (WITH &amp; WITHOUT INCENTIVES) FROM EACH PRIOR YEAR</v>
      </c>
      <c r="P95" s="388"/>
    </row>
    <row r="96" spans="3:16" ht="12.75">
      <c r="C96" s="386" t="s">
        <v>901</v>
      </c>
      <c r="D96" s="804">
        <f>G$78</f>
        <v>58.8235294117647</v>
      </c>
      <c r="E96" s="386" t="s">
        <v>902</v>
      </c>
      <c r="F96" s="385"/>
      <c r="H96"/>
      <c r="I96" s="387">
        <f>IF(G87="",I95,$G$65)</f>
        <v>0.12165993744214068</v>
      </c>
      <c r="J96" s="389"/>
      <c r="K96" t="s">
        <v>1006</v>
      </c>
      <c r="P96" s="389"/>
    </row>
    <row r="97" spans="3:16" ht="13.5" thickBot="1">
      <c r="C97" s="386" t="s">
        <v>903</v>
      </c>
      <c r="D97" s="797"/>
      <c r="E97" s="420" t="s">
        <v>905</v>
      </c>
      <c r="F97" s="421"/>
      <c r="G97" s="306"/>
      <c r="H97" s="306"/>
      <c r="I97" s="407">
        <f>IF(D93=0,0,D93/D96)</f>
        <v>0</v>
      </c>
      <c r="J97" s="377"/>
      <c r="K97" s="377" t="s">
        <v>1012</v>
      </c>
      <c r="L97" s="377"/>
      <c r="M97" s="377"/>
      <c r="N97" s="377"/>
      <c r="O97" s="343"/>
      <c r="P97" s="377"/>
    </row>
    <row r="98" spans="1:16" ht="52.5">
      <c r="A98" s="136"/>
      <c r="B98" s="136"/>
      <c r="C98" s="422" t="s">
        <v>894</v>
      </c>
      <c r="D98" s="423" t="s">
        <v>906</v>
      </c>
      <c r="E98" s="391" t="s">
        <v>907</v>
      </c>
      <c r="F98" s="423" t="s">
        <v>908</v>
      </c>
      <c r="G98" s="391" t="s">
        <v>1005</v>
      </c>
      <c r="H98" s="424" t="s">
        <v>1005</v>
      </c>
      <c r="I98" s="422" t="s">
        <v>918</v>
      </c>
      <c r="J98" s="425"/>
      <c r="K98" s="391" t="s">
        <v>1014</v>
      </c>
      <c r="L98" s="826"/>
      <c r="M98" s="391" t="s">
        <v>1014</v>
      </c>
      <c r="N98" s="826"/>
      <c r="O98" s="826"/>
      <c r="P98" s="426"/>
    </row>
    <row r="99" spans="3:16" ht="13.5" thickBot="1">
      <c r="C99" s="392" t="s">
        <v>616</v>
      </c>
      <c r="D99" s="427" t="s">
        <v>617</v>
      </c>
      <c r="E99" s="392" t="s">
        <v>506</v>
      </c>
      <c r="F99" s="427" t="s">
        <v>617</v>
      </c>
      <c r="G99" s="396" t="s">
        <v>921</v>
      </c>
      <c r="H99" s="393" t="s">
        <v>923</v>
      </c>
      <c r="I99" s="394" t="s">
        <v>316</v>
      </c>
      <c r="J99" s="395"/>
      <c r="K99" s="396" t="s">
        <v>910</v>
      </c>
      <c r="L99" s="827"/>
      <c r="M99" s="396" t="s">
        <v>923</v>
      </c>
      <c r="N99" s="827"/>
      <c r="O99" s="827"/>
      <c r="P99" s="103"/>
    </row>
    <row r="100" spans="3:16" ht="12.75">
      <c r="C100" s="397" t="str">
        <f>IF(D94="","-",D94)</f>
        <v>-</v>
      </c>
      <c r="D100" s="398">
        <f>+D93</f>
        <v>0</v>
      </c>
      <c r="E100" s="400">
        <f>+I97/12*(12-D95)</f>
        <v>0</v>
      </c>
      <c r="F100" s="398">
        <f>+D100-E100</f>
        <v>0</v>
      </c>
      <c r="G100" s="534">
        <f>+I95*F100+E100</f>
        <v>0</v>
      </c>
      <c r="H100" s="893">
        <f>I96*F100+E100</f>
        <v>0</v>
      </c>
      <c r="I100" s="402">
        <f>+H100-G100</f>
        <v>0</v>
      </c>
      <c r="J100" s="402"/>
      <c r="K100" s="789"/>
      <c r="L100" s="823"/>
      <c r="M100" s="789"/>
      <c r="N100" s="823"/>
      <c r="O100" s="823"/>
      <c r="P100" s="409"/>
    </row>
    <row r="101" spans="3:16" ht="12.75">
      <c r="C101" s="397" t="str">
        <f>IF(D94="","-",+C100+1)</f>
        <v>-</v>
      </c>
      <c r="D101" s="398">
        <f aca="true" t="shared" si="0" ref="D101:D132">F100</f>
        <v>0</v>
      </c>
      <c r="E101" s="400">
        <f>IF(D101&gt;$I$97,$I$97,D101)</f>
        <v>0</v>
      </c>
      <c r="F101" s="398">
        <f aca="true" t="shared" si="1" ref="F101:F131">+D101-E101</f>
        <v>0</v>
      </c>
      <c r="G101" s="401">
        <f>+I95*F101+E101</f>
        <v>0</v>
      </c>
      <c r="H101" s="390">
        <f>I96*F101+E101</f>
        <v>0</v>
      </c>
      <c r="I101" s="402">
        <f aca="true" t="shared" si="2" ref="I101:I159">+H101-G101</f>
        <v>0</v>
      </c>
      <c r="J101" s="402"/>
      <c r="K101" s="790"/>
      <c r="L101" s="824"/>
      <c r="M101" s="790"/>
      <c r="N101" s="824"/>
      <c r="O101" s="824"/>
      <c r="P101" s="409"/>
    </row>
    <row r="102" spans="3:16" ht="12.75">
      <c r="C102" s="397" t="str">
        <f>IF(D94="","-",+C101+1)</f>
        <v>-</v>
      </c>
      <c r="D102" s="398">
        <f t="shared" si="0"/>
        <v>0</v>
      </c>
      <c r="E102" s="400">
        <f aca="true" t="shared" si="3" ref="E102:E159">IF(D102&gt;$I$97,$I$97,D102)</f>
        <v>0</v>
      </c>
      <c r="F102" s="398">
        <f t="shared" si="1"/>
        <v>0</v>
      </c>
      <c r="G102" s="401">
        <f>+I95*F102+E102</f>
        <v>0</v>
      </c>
      <c r="H102" s="390">
        <f>I96*F102+E102</f>
        <v>0</v>
      </c>
      <c r="I102" s="402">
        <f t="shared" si="2"/>
        <v>0</v>
      </c>
      <c r="J102" s="402"/>
      <c r="K102" s="790"/>
      <c r="L102" s="824"/>
      <c r="M102" s="790"/>
      <c r="N102" s="824"/>
      <c r="O102" s="824"/>
      <c r="P102" s="409"/>
    </row>
    <row r="103" spans="3:16" ht="12.75">
      <c r="C103" s="397" t="str">
        <f>IF(D94="","-",+C102+1)</f>
        <v>-</v>
      </c>
      <c r="D103" s="398">
        <f t="shared" si="0"/>
        <v>0</v>
      </c>
      <c r="E103" s="400">
        <f t="shared" si="3"/>
        <v>0</v>
      </c>
      <c r="F103" s="398">
        <f t="shared" si="1"/>
        <v>0</v>
      </c>
      <c r="G103" s="401">
        <f>+I95*F103+E103</f>
        <v>0</v>
      </c>
      <c r="H103" s="390">
        <f>I96*F103+E103</f>
        <v>0</v>
      </c>
      <c r="I103" s="402">
        <f t="shared" si="2"/>
        <v>0</v>
      </c>
      <c r="J103" s="402"/>
      <c r="K103" s="790"/>
      <c r="L103" s="824"/>
      <c r="M103" s="790"/>
      <c r="N103" s="824"/>
      <c r="O103" s="824"/>
      <c r="P103" s="409"/>
    </row>
    <row r="104" spans="3:16" ht="12.75">
      <c r="C104" s="397" t="str">
        <f>IF(D94="","-",+C103+1)</f>
        <v>-</v>
      </c>
      <c r="D104" s="398">
        <f t="shared" si="0"/>
        <v>0</v>
      </c>
      <c r="E104" s="400">
        <f t="shared" si="3"/>
        <v>0</v>
      </c>
      <c r="F104" s="398">
        <f t="shared" si="1"/>
        <v>0</v>
      </c>
      <c r="G104" s="401">
        <f>+I95*F104+E104</f>
        <v>0</v>
      </c>
      <c r="H104" s="390">
        <f>I96*F104+E104</f>
        <v>0</v>
      </c>
      <c r="I104" s="402">
        <f t="shared" si="2"/>
        <v>0</v>
      </c>
      <c r="J104" s="402"/>
      <c r="K104" s="790"/>
      <c r="L104" s="824"/>
      <c r="M104" s="790"/>
      <c r="N104" s="824"/>
      <c r="O104" s="824"/>
      <c r="P104" s="409"/>
    </row>
    <row r="105" spans="3:16" ht="12.75">
      <c r="C105" s="397" t="str">
        <f>IF(D94="","-",+C104+1)</f>
        <v>-</v>
      </c>
      <c r="D105" s="398">
        <f t="shared" si="0"/>
        <v>0</v>
      </c>
      <c r="E105" s="400">
        <f t="shared" si="3"/>
        <v>0</v>
      </c>
      <c r="F105" s="398">
        <f t="shared" si="1"/>
        <v>0</v>
      </c>
      <c r="G105" s="401">
        <f>+I95*F105+E105</f>
        <v>0</v>
      </c>
      <c r="H105" s="390">
        <f>I96*F105+E105</f>
        <v>0</v>
      </c>
      <c r="I105" s="402">
        <f t="shared" si="2"/>
        <v>0</v>
      </c>
      <c r="J105" s="402"/>
      <c r="K105" s="790"/>
      <c r="L105" s="824"/>
      <c r="M105" s="790"/>
      <c r="N105" s="824"/>
      <c r="O105" s="824"/>
      <c r="P105" s="409"/>
    </row>
    <row r="106" spans="3:16" ht="12.75">
      <c r="C106" s="397" t="str">
        <f>IF(D94="","-",+C105+1)</f>
        <v>-</v>
      </c>
      <c r="D106" s="398">
        <f t="shared" si="0"/>
        <v>0</v>
      </c>
      <c r="E106" s="400">
        <f t="shared" si="3"/>
        <v>0</v>
      </c>
      <c r="F106" s="398">
        <f t="shared" si="1"/>
        <v>0</v>
      </c>
      <c r="G106" s="401">
        <f>+I95*F106+E106</f>
        <v>0</v>
      </c>
      <c r="H106" s="390">
        <f>I96*F106+E106</f>
        <v>0</v>
      </c>
      <c r="I106" s="402">
        <f t="shared" si="2"/>
        <v>0</v>
      </c>
      <c r="J106" s="402"/>
      <c r="K106" s="790"/>
      <c r="L106" s="824"/>
      <c r="M106" s="790"/>
      <c r="N106" s="824"/>
      <c r="O106" s="824"/>
      <c r="P106" s="409"/>
    </row>
    <row r="107" spans="3:16" ht="12.75">
      <c r="C107" s="397" t="str">
        <f>IF(D94="","-",+C106+1)</f>
        <v>-</v>
      </c>
      <c r="D107" s="398">
        <f t="shared" si="0"/>
        <v>0</v>
      </c>
      <c r="E107" s="400">
        <f t="shared" si="3"/>
        <v>0</v>
      </c>
      <c r="F107" s="398">
        <f t="shared" si="1"/>
        <v>0</v>
      </c>
      <c r="G107" s="401">
        <f>+I95*F107+E107</f>
        <v>0</v>
      </c>
      <c r="H107" s="390">
        <f>I96*F107+E107</f>
        <v>0</v>
      </c>
      <c r="I107" s="402">
        <f t="shared" si="2"/>
        <v>0</v>
      </c>
      <c r="J107" s="402"/>
      <c r="K107" s="790"/>
      <c r="L107" s="824"/>
      <c r="M107" s="790"/>
      <c r="N107" s="824"/>
      <c r="O107" s="824"/>
      <c r="P107" s="409"/>
    </row>
    <row r="108" spans="3:16" ht="12.75">
      <c r="C108" s="397" t="str">
        <f>IF(D94="","-",+C107+1)</f>
        <v>-</v>
      </c>
      <c r="D108" s="398">
        <f t="shared" si="0"/>
        <v>0</v>
      </c>
      <c r="E108" s="400">
        <f t="shared" si="3"/>
        <v>0</v>
      </c>
      <c r="F108" s="398">
        <f t="shared" si="1"/>
        <v>0</v>
      </c>
      <c r="G108" s="401">
        <f>+I95*F108+E108</f>
        <v>0</v>
      </c>
      <c r="H108" s="390">
        <f>I96*F108+E108</f>
        <v>0</v>
      </c>
      <c r="I108" s="402">
        <f t="shared" si="2"/>
        <v>0</v>
      </c>
      <c r="J108" s="402"/>
      <c r="K108" s="790"/>
      <c r="L108" s="824"/>
      <c r="M108" s="790"/>
      <c r="N108" s="824"/>
      <c r="O108" s="824"/>
      <c r="P108" s="409"/>
    </row>
    <row r="109" spans="3:16" ht="12.75">
      <c r="C109" s="397" t="str">
        <f>IF(D94="","-",+C108+1)</f>
        <v>-</v>
      </c>
      <c r="D109" s="398">
        <f t="shared" si="0"/>
        <v>0</v>
      </c>
      <c r="E109" s="400">
        <f t="shared" si="3"/>
        <v>0</v>
      </c>
      <c r="F109" s="398">
        <f t="shared" si="1"/>
        <v>0</v>
      </c>
      <c r="G109" s="401">
        <f>+I95*F109+E109</f>
        <v>0</v>
      </c>
      <c r="H109" s="390">
        <f>I96*F109+E109</f>
        <v>0</v>
      </c>
      <c r="I109" s="402">
        <f t="shared" si="2"/>
        <v>0</v>
      </c>
      <c r="J109" s="402"/>
      <c r="K109" s="790"/>
      <c r="L109" s="824"/>
      <c r="M109" s="790"/>
      <c r="N109" s="824"/>
      <c r="O109" s="824"/>
      <c r="P109" s="409"/>
    </row>
    <row r="110" spans="3:16" ht="12.75">
      <c r="C110" s="397" t="str">
        <f>IF(D94="","-",+C109+1)</f>
        <v>-</v>
      </c>
      <c r="D110" s="398">
        <f t="shared" si="0"/>
        <v>0</v>
      </c>
      <c r="E110" s="400">
        <f t="shared" si="3"/>
        <v>0</v>
      </c>
      <c r="F110" s="398">
        <f t="shared" si="1"/>
        <v>0</v>
      </c>
      <c r="G110" s="401">
        <f>+I95*F110+E110</f>
        <v>0</v>
      </c>
      <c r="H110" s="390">
        <f>I96*F110+E110</f>
        <v>0</v>
      </c>
      <c r="I110" s="402">
        <f t="shared" si="2"/>
        <v>0</v>
      </c>
      <c r="J110" s="402"/>
      <c r="K110" s="790"/>
      <c r="L110" s="824"/>
      <c r="M110" s="790"/>
      <c r="N110" s="824"/>
      <c r="O110" s="824"/>
      <c r="P110" s="409"/>
    </row>
    <row r="111" spans="3:16" ht="12.75">
      <c r="C111" s="397" t="str">
        <f>IF(D94="","-",+C110+1)</f>
        <v>-</v>
      </c>
      <c r="D111" s="398">
        <f t="shared" si="0"/>
        <v>0</v>
      </c>
      <c r="E111" s="400">
        <f t="shared" si="3"/>
        <v>0</v>
      </c>
      <c r="F111" s="398">
        <f t="shared" si="1"/>
        <v>0</v>
      </c>
      <c r="G111" s="401">
        <f>+I95*F111+E111</f>
        <v>0</v>
      </c>
      <c r="H111" s="390">
        <f>I96*F111+E111</f>
        <v>0</v>
      </c>
      <c r="I111" s="402">
        <f t="shared" si="2"/>
        <v>0</v>
      </c>
      <c r="J111" s="402"/>
      <c r="K111" s="790"/>
      <c r="L111" s="824"/>
      <c r="M111" s="790"/>
      <c r="N111" s="824"/>
      <c r="O111" s="824"/>
      <c r="P111" s="409"/>
    </row>
    <row r="112" spans="3:16" ht="12.75">
      <c r="C112" s="397" t="str">
        <f>IF(D94="","-",+C111+1)</f>
        <v>-</v>
      </c>
      <c r="D112" s="398">
        <f t="shared" si="0"/>
        <v>0</v>
      </c>
      <c r="E112" s="400">
        <f t="shared" si="3"/>
        <v>0</v>
      </c>
      <c r="F112" s="398">
        <f t="shared" si="1"/>
        <v>0</v>
      </c>
      <c r="G112" s="401">
        <f>+I95*F112+E112</f>
        <v>0</v>
      </c>
      <c r="H112" s="390">
        <f>I96*F112+E112</f>
        <v>0</v>
      </c>
      <c r="I112" s="402">
        <f t="shared" si="2"/>
        <v>0</v>
      </c>
      <c r="J112" s="402"/>
      <c r="K112" s="790"/>
      <c r="L112" s="824"/>
      <c r="M112" s="790"/>
      <c r="N112" s="894"/>
      <c r="O112" s="824"/>
      <c r="P112" s="409"/>
    </row>
    <row r="113" spans="3:16" ht="12.75">
      <c r="C113" s="397" t="str">
        <f>IF(D94="","-",+C112+1)</f>
        <v>-</v>
      </c>
      <c r="D113" s="398">
        <f t="shared" si="0"/>
        <v>0</v>
      </c>
      <c r="E113" s="400">
        <f t="shared" si="3"/>
        <v>0</v>
      </c>
      <c r="F113" s="398">
        <f t="shared" si="1"/>
        <v>0</v>
      </c>
      <c r="G113" s="401">
        <f>+I95*F113+E113</f>
        <v>0</v>
      </c>
      <c r="H113" s="390">
        <f>I96*F113+E113</f>
        <v>0</v>
      </c>
      <c r="I113" s="402">
        <f t="shared" si="2"/>
        <v>0</v>
      </c>
      <c r="J113" s="402"/>
      <c r="K113" s="790"/>
      <c r="L113" s="824"/>
      <c r="M113" s="790"/>
      <c r="N113" s="824"/>
      <c r="O113" s="824"/>
      <c r="P113" s="409"/>
    </row>
    <row r="114" spans="3:16" ht="12.75">
      <c r="C114" s="397" t="str">
        <f>IF(D94="","-",+C113+1)</f>
        <v>-</v>
      </c>
      <c r="D114" s="398">
        <f t="shared" si="0"/>
        <v>0</v>
      </c>
      <c r="E114" s="400">
        <f t="shared" si="3"/>
        <v>0</v>
      </c>
      <c r="F114" s="398">
        <f t="shared" si="1"/>
        <v>0</v>
      </c>
      <c r="G114" s="401">
        <f>+I95*F114+E114</f>
        <v>0</v>
      </c>
      <c r="H114" s="390">
        <f>I96*F114+E114</f>
        <v>0</v>
      </c>
      <c r="I114" s="402">
        <f t="shared" si="2"/>
        <v>0</v>
      </c>
      <c r="J114" s="402"/>
      <c r="K114" s="790"/>
      <c r="L114" s="824"/>
      <c r="M114" s="790"/>
      <c r="N114" s="824"/>
      <c r="O114" s="824"/>
      <c r="P114" s="409"/>
    </row>
    <row r="115" spans="3:16" ht="12.75">
      <c r="C115" s="397" t="str">
        <f>IF(D94="","-",+C114+1)</f>
        <v>-</v>
      </c>
      <c r="D115" s="398">
        <f t="shared" si="0"/>
        <v>0</v>
      </c>
      <c r="E115" s="400">
        <f t="shared" si="3"/>
        <v>0</v>
      </c>
      <c r="F115" s="398">
        <f t="shared" si="1"/>
        <v>0</v>
      </c>
      <c r="G115" s="401">
        <f>+I95*F115+E115</f>
        <v>0</v>
      </c>
      <c r="H115" s="390">
        <f>I96*F115+E115</f>
        <v>0</v>
      </c>
      <c r="I115" s="402">
        <f t="shared" si="2"/>
        <v>0</v>
      </c>
      <c r="J115" s="402"/>
      <c r="K115" s="790"/>
      <c r="L115" s="824"/>
      <c r="M115" s="790"/>
      <c r="N115" s="824"/>
      <c r="O115" s="824"/>
      <c r="P115" s="409"/>
    </row>
    <row r="116" spans="3:16" ht="12.75">
      <c r="C116" s="397" t="str">
        <f>IF(D94="","-",+C115+1)</f>
        <v>-</v>
      </c>
      <c r="D116" s="398">
        <f t="shared" si="0"/>
        <v>0</v>
      </c>
      <c r="E116" s="400">
        <f t="shared" si="3"/>
        <v>0</v>
      </c>
      <c r="F116" s="398">
        <f t="shared" si="1"/>
        <v>0</v>
      </c>
      <c r="G116" s="401">
        <f>+I95*F116+E116</f>
        <v>0</v>
      </c>
      <c r="H116" s="390">
        <f>I96*F116+E116</f>
        <v>0</v>
      </c>
      <c r="I116" s="402">
        <f t="shared" si="2"/>
        <v>0</v>
      </c>
      <c r="J116" s="402"/>
      <c r="K116" s="790"/>
      <c r="L116" s="824"/>
      <c r="M116" s="790"/>
      <c r="N116" s="824"/>
      <c r="O116" s="824"/>
      <c r="P116" s="409"/>
    </row>
    <row r="117" spans="3:16" ht="12.75">
      <c r="C117" s="397" t="str">
        <f>IF(D94="","-",+C116+1)</f>
        <v>-</v>
      </c>
      <c r="D117" s="398">
        <f t="shared" si="0"/>
        <v>0</v>
      </c>
      <c r="E117" s="400">
        <f t="shared" si="3"/>
        <v>0</v>
      </c>
      <c r="F117" s="398">
        <f t="shared" si="1"/>
        <v>0</v>
      </c>
      <c r="G117" s="401">
        <f>+I95*F117+E117</f>
        <v>0</v>
      </c>
      <c r="H117" s="390">
        <f>I96*F117+E117</f>
        <v>0</v>
      </c>
      <c r="I117" s="402">
        <f t="shared" si="2"/>
        <v>0</v>
      </c>
      <c r="J117" s="402"/>
      <c r="K117" s="790"/>
      <c r="L117" s="824"/>
      <c r="M117" s="790"/>
      <c r="N117" s="824"/>
      <c r="O117" s="824"/>
      <c r="P117" s="409"/>
    </row>
    <row r="118" spans="3:16" ht="12.75">
      <c r="C118" s="397" t="str">
        <f>IF(D94="","-",+C117+1)</f>
        <v>-</v>
      </c>
      <c r="D118" s="398">
        <f t="shared" si="0"/>
        <v>0</v>
      </c>
      <c r="E118" s="400">
        <f t="shared" si="3"/>
        <v>0</v>
      </c>
      <c r="F118" s="398">
        <f t="shared" si="1"/>
        <v>0</v>
      </c>
      <c r="G118" s="401">
        <f>+I95*F118+E118</f>
        <v>0</v>
      </c>
      <c r="H118" s="390">
        <f>I96*F118+E118</f>
        <v>0</v>
      </c>
      <c r="I118" s="402">
        <f t="shared" si="2"/>
        <v>0</v>
      </c>
      <c r="J118" s="402"/>
      <c r="K118" s="790"/>
      <c r="L118" s="824"/>
      <c r="M118" s="790"/>
      <c r="N118" s="824"/>
      <c r="O118" s="824"/>
      <c r="P118" s="409"/>
    </row>
    <row r="119" spans="3:16" ht="12.75">
      <c r="C119" s="397" t="str">
        <f>IF(D94="","-",+C118+1)</f>
        <v>-</v>
      </c>
      <c r="D119" s="398">
        <f t="shared" si="0"/>
        <v>0</v>
      </c>
      <c r="E119" s="400">
        <f t="shared" si="3"/>
        <v>0</v>
      </c>
      <c r="F119" s="398">
        <f t="shared" si="1"/>
        <v>0</v>
      </c>
      <c r="G119" s="401">
        <f>+I95*F119+E119</f>
        <v>0</v>
      </c>
      <c r="H119" s="390">
        <f>I96*F119+E119</f>
        <v>0</v>
      </c>
      <c r="I119" s="402">
        <f t="shared" si="2"/>
        <v>0</v>
      </c>
      <c r="J119" s="402"/>
      <c r="K119" s="790"/>
      <c r="L119" s="824"/>
      <c r="M119" s="790"/>
      <c r="N119" s="824"/>
      <c r="O119" s="824"/>
      <c r="P119" s="409"/>
    </row>
    <row r="120" spans="3:16" ht="12.75">
      <c r="C120" s="397" t="str">
        <f>IF(D94="","-",+C119+1)</f>
        <v>-</v>
      </c>
      <c r="D120" s="398">
        <f t="shared" si="0"/>
        <v>0</v>
      </c>
      <c r="E120" s="400">
        <f t="shared" si="3"/>
        <v>0</v>
      </c>
      <c r="F120" s="398">
        <f t="shared" si="1"/>
        <v>0</v>
      </c>
      <c r="G120" s="401">
        <f>+I95*F120+E120</f>
        <v>0</v>
      </c>
      <c r="H120" s="390">
        <f>I96*F120+E120</f>
        <v>0</v>
      </c>
      <c r="I120" s="402">
        <f t="shared" si="2"/>
        <v>0</v>
      </c>
      <c r="J120" s="402"/>
      <c r="K120" s="790"/>
      <c r="L120" s="824"/>
      <c r="M120" s="790"/>
      <c r="N120" s="824"/>
      <c r="O120" s="824"/>
      <c r="P120" s="409"/>
    </row>
    <row r="121" spans="3:16" ht="12.75">
      <c r="C121" s="397" t="str">
        <f>IF(D94="","-",+C120+1)</f>
        <v>-</v>
      </c>
      <c r="D121" s="398">
        <f t="shared" si="0"/>
        <v>0</v>
      </c>
      <c r="E121" s="400">
        <f t="shared" si="3"/>
        <v>0</v>
      </c>
      <c r="F121" s="398">
        <f t="shared" si="1"/>
        <v>0</v>
      </c>
      <c r="G121" s="401">
        <f>+I95*F121+E121</f>
        <v>0</v>
      </c>
      <c r="H121" s="390">
        <f>I96*F121+E121</f>
        <v>0</v>
      </c>
      <c r="I121" s="402">
        <f t="shared" si="2"/>
        <v>0</v>
      </c>
      <c r="J121" s="402"/>
      <c r="K121" s="790"/>
      <c r="L121" s="824"/>
      <c r="M121" s="790"/>
      <c r="N121" s="824"/>
      <c r="O121" s="824"/>
      <c r="P121" s="409"/>
    </row>
    <row r="122" spans="3:16" ht="12.75">
      <c r="C122" s="397" t="str">
        <f>IF(D94="","-",+C121+1)</f>
        <v>-</v>
      </c>
      <c r="D122" s="398">
        <f t="shared" si="0"/>
        <v>0</v>
      </c>
      <c r="E122" s="400">
        <f t="shared" si="3"/>
        <v>0</v>
      </c>
      <c r="F122" s="398">
        <f t="shared" si="1"/>
        <v>0</v>
      </c>
      <c r="G122" s="401">
        <f>+I95*F122+E122</f>
        <v>0</v>
      </c>
      <c r="H122" s="390">
        <f>I96*F122+E122</f>
        <v>0</v>
      </c>
      <c r="I122" s="402">
        <f t="shared" si="2"/>
        <v>0</v>
      </c>
      <c r="J122" s="402"/>
      <c r="K122" s="790"/>
      <c r="L122" s="824"/>
      <c r="M122" s="790"/>
      <c r="N122" s="824"/>
      <c r="O122" s="824"/>
      <c r="P122" s="409"/>
    </row>
    <row r="123" spans="3:16" ht="12.75">
      <c r="C123" s="397" t="str">
        <f>IF(D94="","-",+C122+1)</f>
        <v>-</v>
      </c>
      <c r="D123" s="398">
        <f t="shared" si="0"/>
        <v>0</v>
      </c>
      <c r="E123" s="400">
        <f t="shared" si="3"/>
        <v>0</v>
      </c>
      <c r="F123" s="398">
        <f t="shared" si="1"/>
        <v>0</v>
      </c>
      <c r="G123" s="401">
        <f>+I95*F123+E123</f>
        <v>0</v>
      </c>
      <c r="H123" s="390">
        <f>I96*F123+E123</f>
        <v>0</v>
      </c>
      <c r="I123" s="402">
        <f t="shared" si="2"/>
        <v>0</v>
      </c>
      <c r="J123" s="402"/>
      <c r="K123" s="790"/>
      <c r="L123" s="824"/>
      <c r="M123" s="790"/>
      <c r="N123" s="824"/>
      <c r="O123" s="824"/>
      <c r="P123" s="409"/>
    </row>
    <row r="124" spans="3:16" ht="12.75">
      <c r="C124" s="397" t="str">
        <f>IF(D94="","-",+C123+1)</f>
        <v>-</v>
      </c>
      <c r="D124" s="398">
        <f t="shared" si="0"/>
        <v>0</v>
      </c>
      <c r="E124" s="400">
        <f t="shared" si="3"/>
        <v>0</v>
      </c>
      <c r="F124" s="398">
        <f t="shared" si="1"/>
        <v>0</v>
      </c>
      <c r="G124" s="401">
        <f>+I95*F124+E124</f>
        <v>0</v>
      </c>
      <c r="H124" s="390">
        <f>I96*F124+E124</f>
        <v>0</v>
      </c>
      <c r="I124" s="402">
        <f t="shared" si="2"/>
        <v>0</v>
      </c>
      <c r="J124" s="402"/>
      <c r="K124" s="790"/>
      <c r="L124" s="824"/>
      <c r="M124" s="790"/>
      <c r="N124" s="824"/>
      <c r="O124" s="824"/>
      <c r="P124" s="409"/>
    </row>
    <row r="125" spans="3:16" ht="12.75">
      <c r="C125" s="397" t="str">
        <f>IF(D94="","-",+C124+1)</f>
        <v>-</v>
      </c>
      <c r="D125" s="398">
        <f t="shared" si="0"/>
        <v>0</v>
      </c>
      <c r="E125" s="400">
        <f t="shared" si="3"/>
        <v>0</v>
      </c>
      <c r="F125" s="398">
        <f t="shared" si="1"/>
        <v>0</v>
      </c>
      <c r="G125" s="401">
        <f>+I95*F125+E125</f>
        <v>0</v>
      </c>
      <c r="H125" s="390">
        <f>I96*F125+E125</f>
        <v>0</v>
      </c>
      <c r="I125" s="402">
        <f t="shared" si="2"/>
        <v>0</v>
      </c>
      <c r="J125" s="402"/>
      <c r="K125" s="790"/>
      <c r="L125" s="824"/>
      <c r="M125" s="790"/>
      <c r="N125" s="824"/>
      <c r="O125" s="824"/>
      <c r="P125" s="409"/>
    </row>
    <row r="126" spans="3:16" ht="12.75">
      <c r="C126" s="397" t="str">
        <f>IF(D94="","-",+C125+1)</f>
        <v>-</v>
      </c>
      <c r="D126" s="398">
        <f t="shared" si="0"/>
        <v>0</v>
      </c>
      <c r="E126" s="400">
        <f t="shared" si="3"/>
        <v>0</v>
      </c>
      <c r="F126" s="398">
        <f t="shared" si="1"/>
        <v>0</v>
      </c>
      <c r="G126" s="401">
        <f>+I95*F126+E126</f>
        <v>0</v>
      </c>
      <c r="H126" s="390">
        <f>I96*F126+E126</f>
        <v>0</v>
      </c>
      <c r="I126" s="402">
        <f t="shared" si="2"/>
        <v>0</v>
      </c>
      <c r="J126" s="402"/>
      <c r="K126" s="790"/>
      <c r="L126" s="824"/>
      <c r="M126" s="790"/>
      <c r="N126" s="824"/>
      <c r="O126" s="824"/>
      <c r="P126" s="409"/>
    </row>
    <row r="127" spans="3:16" ht="12.75">
      <c r="C127" s="397" t="str">
        <f>IF(D94="","-",+C126+1)</f>
        <v>-</v>
      </c>
      <c r="D127" s="398">
        <f t="shared" si="0"/>
        <v>0</v>
      </c>
      <c r="E127" s="400">
        <f t="shared" si="3"/>
        <v>0</v>
      </c>
      <c r="F127" s="398">
        <f t="shared" si="1"/>
        <v>0</v>
      </c>
      <c r="G127" s="401">
        <f>+I95*F127+E127</f>
        <v>0</v>
      </c>
      <c r="H127" s="390">
        <f>I96*F127+E127</f>
        <v>0</v>
      </c>
      <c r="I127" s="402">
        <f t="shared" si="2"/>
        <v>0</v>
      </c>
      <c r="J127" s="402"/>
      <c r="K127" s="790"/>
      <c r="L127" s="824"/>
      <c r="M127" s="790"/>
      <c r="N127" s="824"/>
      <c r="O127" s="824"/>
      <c r="P127" s="409"/>
    </row>
    <row r="128" spans="3:16" ht="12.75">
      <c r="C128" s="397" t="str">
        <f>IF(D94="","-",+C127+1)</f>
        <v>-</v>
      </c>
      <c r="D128" s="398">
        <f t="shared" si="0"/>
        <v>0</v>
      </c>
      <c r="E128" s="400">
        <f t="shared" si="3"/>
        <v>0</v>
      </c>
      <c r="F128" s="398">
        <f t="shared" si="1"/>
        <v>0</v>
      </c>
      <c r="G128" s="534">
        <f>+I95*F128+E128</f>
        <v>0</v>
      </c>
      <c r="H128" s="390">
        <f>I96*F128+E128</f>
        <v>0</v>
      </c>
      <c r="I128" s="402">
        <f t="shared" si="2"/>
        <v>0</v>
      </c>
      <c r="J128" s="402"/>
      <c r="K128" s="790"/>
      <c r="L128" s="824"/>
      <c r="M128" s="790"/>
      <c r="N128" s="824"/>
      <c r="O128" s="824"/>
      <c r="P128" s="409"/>
    </row>
    <row r="129" spans="3:16" ht="12.75">
      <c r="C129" s="397" t="str">
        <f>IF(D94="","-",+C128+1)</f>
        <v>-</v>
      </c>
      <c r="D129" s="398">
        <f t="shared" si="0"/>
        <v>0</v>
      </c>
      <c r="E129" s="400">
        <f t="shared" si="3"/>
        <v>0</v>
      </c>
      <c r="F129" s="398">
        <f t="shared" si="1"/>
        <v>0</v>
      </c>
      <c r="G129" s="401">
        <f>+I95*F129+E129</f>
        <v>0</v>
      </c>
      <c r="H129" s="390">
        <f>I96*F129+E129</f>
        <v>0</v>
      </c>
      <c r="I129" s="402">
        <f t="shared" si="2"/>
        <v>0</v>
      </c>
      <c r="J129" s="402"/>
      <c r="K129" s="790"/>
      <c r="L129" s="824"/>
      <c r="M129" s="790"/>
      <c r="N129" s="824"/>
      <c r="O129" s="824"/>
      <c r="P129" s="409"/>
    </row>
    <row r="130" spans="3:16" ht="12.75">
      <c r="C130" s="397" t="str">
        <f>IF(D94="","-",+C129+1)</f>
        <v>-</v>
      </c>
      <c r="D130" s="398">
        <f t="shared" si="0"/>
        <v>0</v>
      </c>
      <c r="E130" s="400">
        <f t="shared" si="3"/>
        <v>0</v>
      </c>
      <c r="F130" s="398">
        <f t="shared" si="1"/>
        <v>0</v>
      </c>
      <c r="G130" s="401">
        <f>+I95*F130+E130</f>
        <v>0</v>
      </c>
      <c r="H130" s="390">
        <f>I96*F130+E130</f>
        <v>0</v>
      </c>
      <c r="I130" s="402">
        <f t="shared" si="2"/>
        <v>0</v>
      </c>
      <c r="J130" s="402"/>
      <c r="K130" s="790"/>
      <c r="L130" s="824"/>
      <c r="M130" s="790"/>
      <c r="N130" s="824"/>
      <c r="O130" s="824"/>
      <c r="P130" s="409"/>
    </row>
    <row r="131" spans="3:16" ht="12.75">
      <c r="C131" s="397" t="str">
        <f>IF(D94="","-",+C130+1)</f>
        <v>-</v>
      </c>
      <c r="D131" s="398">
        <f t="shared" si="0"/>
        <v>0</v>
      </c>
      <c r="E131" s="400">
        <f t="shared" si="3"/>
        <v>0</v>
      </c>
      <c r="F131" s="398">
        <f t="shared" si="1"/>
        <v>0</v>
      </c>
      <c r="G131" s="401">
        <f>+I95*F131+E131</f>
        <v>0</v>
      </c>
      <c r="H131" s="390">
        <f>I96*F131+E131</f>
        <v>0</v>
      </c>
      <c r="I131" s="402">
        <f t="shared" si="2"/>
        <v>0</v>
      </c>
      <c r="J131" s="402"/>
      <c r="K131" s="790"/>
      <c r="L131" s="824"/>
      <c r="M131" s="790"/>
      <c r="N131" s="824"/>
      <c r="O131" s="824"/>
      <c r="P131" s="409"/>
    </row>
    <row r="132" spans="3:16" ht="12.75">
      <c r="C132" s="397" t="str">
        <f>IF(D94="","-",+C131+1)</f>
        <v>-</v>
      </c>
      <c r="D132" s="398">
        <f t="shared" si="0"/>
        <v>0</v>
      </c>
      <c r="E132" s="400">
        <f t="shared" si="3"/>
        <v>0</v>
      </c>
      <c r="F132" s="398">
        <f aca="true" t="shared" si="4" ref="F132:F159">+D132-E132</f>
        <v>0</v>
      </c>
      <c r="G132" s="401">
        <f>+I95*F132+E132</f>
        <v>0</v>
      </c>
      <c r="H132" s="390">
        <f>I96*F132+E132</f>
        <v>0</v>
      </c>
      <c r="I132" s="402">
        <f t="shared" si="2"/>
        <v>0</v>
      </c>
      <c r="J132" s="402"/>
      <c r="K132" s="790"/>
      <c r="L132" s="824"/>
      <c r="M132" s="790"/>
      <c r="N132" s="824"/>
      <c r="O132" s="824"/>
      <c r="P132" s="409"/>
    </row>
    <row r="133" spans="3:16" ht="12.75">
      <c r="C133" s="397" t="str">
        <f>IF(D94="","-",+C132+1)</f>
        <v>-</v>
      </c>
      <c r="D133" s="398">
        <f aca="true" t="shared" si="5" ref="D133:D159">F132</f>
        <v>0</v>
      </c>
      <c r="E133" s="400">
        <f t="shared" si="3"/>
        <v>0</v>
      </c>
      <c r="F133" s="398">
        <f t="shared" si="4"/>
        <v>0</v>
      </c>
      <c r="G133" s="401">
        <f>+I95*F133+E133</f>
        <v>0</v>
      </c>
      <c r="H133" s="390">
        <f>I96*F133+E133</f>
        <v>0</v>
      </c>
      <c r="I133" s="402">
        <f t="shared" si="2"/>
        <v>0</v>
      </c>
      <c r="J133" s="402"/>
      <c r="K133" s="790"/>
      <c r="L133" s="824"/>
      <c r="M133" s="790"/>
      <c r="N133" s="824"/>
      <c r="O133" s="824"/>
      <c r="P133" s="409"/>
    </row>
    <row r="134" spans="3:16" ht="12.75">
      <c r="C134" s="397" t="str">
        <f>IF(D94="","-",+C133+1)</f>
        <v>-</v>
      </c>
      <c r="D134" s="398">
        <f t="shared" si="5"/>
        <v>0</v>
      </c>
      <c r="E134" s="400">
        <f t="shared" si="3"/>
        <v>0</v>
      </c>
      <c r="F134" s="398">
        <f t="shared" si="4"/>
        <v>0</v>
      </c>
      <c r="G134" s="401">
        <f>+I95*F134+E134</f>
        <v>0</v>
      </c>
      <c r="H134" s="390">
        <f>I96*F134+E134</f>
        <v>0</v>
      </c>
      <c r="I134" s="402">
        <f t="shared" si="2"/>
        <v>0</v>
      </c>
      <c r="J134" s="402"/>
      <c r="K134" s="790"/>
      <c r="L134" s="824"/>
      <c r="M134" s="790"/>
      <c r="N134" s="824"/>
      <c r="O134" s="824"/>
      <c r="P134" s="409"/>
    </row>
    <row r="135" spans="3:16" ht="12.75">
      <c r="C135" s="397" t="str">
        <f>IF(D94="","-",+C134+1)</f>
        <v>-</v>
      </c>
      <c r="D135" s="398">
        <f t="shared" si="5"/>
        <v>0</v>
      </c>
      <c r="E135" s="400">
        <f t="shared" si="3"/>
        <v>0</v>
      </c>
      <c r="F135" s="398">
        <f t="shared" si="4"/>
        <v>0</v>
      </c>
      <c r="G135" s="401">
        <f>+I95*F135+E135</f>
        <v>0</v>
      </c>
      <c r="H135" s="390">
        <f>I96*F135+E135</f>
        <v>0</v>
      </c>
      <c r="I135" s="402">
        <f t="shared" si="2"/>
        <v>0</v>
      </c>
      <c r="J135" s="402"/>
      <c r="K135" s="790"/>
      <c r="L135" s="824"/>
      <c r="M135" s="790"/>
      <c r="N135" s="824"/>
      <c r="O135" s="824"/>
      <c r="P135" s="409"/>
    </row>
    <row r="136" spans="3:16" ht="12.75">
      <c r="C136" s="397" t="str">
        <f>IF(D94="","-",+C135+1)</f>
        <v>-</v>
      </c>
      <c r="D136" s="398">
        <f t="shared" si="5"/>
        <v>0</v>
      </c>
      <c r="E136" s="400">
        <f t="shared" si="3"/>
        <v>0</v>
      </c>
      <c r="F136" s="398">
        <f t="shared" si="4"/>
        <v>0</v>
      </c>
      <c r="G136" s="401">
        <f>+I95*F136+E136</f>
        <v>0</v>
      </c>
      <c r="H136" s="390">
        <f>I96*F136+E136</f>
        <v>0</v>
      </c>
      <c r="I136" s="402">
        <f t="shared" si="2"/>
        <v>0</v>
      </c>
      <c r="J136" s="402"/>
      <c r="K136" s="790"/>
      <c r="L136" s="824"/>
      <c r="M136" s="790"/>
      <c r="N136" s="824"/>
      <c r="O136" s="824"/>
      <c r="P136" s="409"/>
    </row>
    <row r="137" spans="3:16" ht="12.75">
      <c r="C137" s="397" t="str">
        <f>IF(D94="","-",+C136+1)</f>
        <v>-</v>
      </c>
      <c r="D137" s="398">
        <f t="shared" si="5"/>
        <v>0</v>
      </c>
      <c r="E137" s="400">
        <f t="shared" si="3"/>
        <v>0</v>
      </c>
      <c r="F137" s="398">
        <f t="shared" si="4"/>
        <v>0</v>
      </c>
      <c r="G137" s="401">
        <f>+I95*F137+E137</f>
        <v>0</v>
      </c>
      <c r="H137" s="390">
        <f>I96*F137+E137</f>
        <v>0</v>
      </c>
      <c r="I137" s="402">
        <f t="shared" si="2"/>
        <v>0</v>
      </c>
      <c r="J137" s="402"/>
      <c r="K137" s="790"/>
      <c r="L137" s="824"/>
      <c r="M137" s="790"/>
      <c r="N137" s="824"/>
      <c r="O137" s="824"/>
      <c r="P137" s="409"/>
    </row>
    <row r="138" spans="3:16" ht="12.75">
      <c r="C138" s="397" t="str">
        <f>IF(D94="","-",+C137+1)</f>
        <v>-</v>
      </c>
      <c r="D138" s="398">
        <f t="shared" si="5"/>
        <v>0</v>
      </c>
      <c r="E138" s="400">
        <f t="shared" si="3"/>
        <v>0</v>
      </c>
      <c r="F138" s="398">
        <f t="shared" si="4"/>
        <v>0</v>
      </c>
      <c r="G138" s="401">
        <f>+I95*F138+E138</f>
        <v>0</v>
      </c>
      <c r="H138" s="390">
        <f>I96*F138+E138</f>
        <v>0</v>
      </c>
      <c r="I138" s="402">
        <f t="shared" si="2"/>
        <v>0</v>
      </c>
      <c r="J138" s="402"/>
      <c r="K138" s="790"/>
      <c r="L138" s="824"/>
      <c r="M138" s="790"/>
      <c r="N138" s="824"/>
      <c r="O138" s="824"/>
      <c r="P138" s="409"/>
    </row>
    <row r="139" spans="3:16" ht="12.75">
      <c r="C139" s="397" t="str">
        <f>IF(D94="","-",+C138+1)</f>
        <v>-</v>
      </c>
      <c r="D139" s="398">
        <f t="shared" si="5"/>
        <v>0</v>
      </c>
      <c r="E139" s="400">
        <f t="shared" si="3"/>
        <v>0</v>
      </c>
      <c r="F139" s="398">
        <f t="shared" si="4"/>
        <v>0</v>
      </c>
      <c r="G139" s="401">
        <f>+I95*F139+E139</f>
        <v>0</v>
      </c>
      <c r="H139" s="390">
        <f>I96*F139+E139</f>
        <v>0</v>
      </c>
      <c r="I139" s="402">
        <f t="shared" si="2"/>
        <v>0</v>
      </c>
      <c r="J139" s="402"/>
      <c r="K139" s="790"/>
      <c r="L139" s="824"/>
      <c r="M139" s="790"/>
      <c r="N139" s="824"/>
      <c r="O139" s="824"/>
      <c r="P139" s="409"/>
    </row>
    <row r="140" spans="3:16" ht="12.75">
      <c r="C140" s="397" t="str">
        <f>IF(D94="","-",+C139+1)</f>
        <v>-</v>
      </c>
      <c r="D140" s="398">
        <f t="shared" si="5"/>
        <v>0</v>
      </c>
      <c r="E140" s="400">
        <f t="shared" si="3"/>
        <v>0</v>
      </c>
      <c r="F140" s="398">
        <f t="shared" si="4"/>
        <v>0</v>
      </c>
      <c r="G140" s="401">
        <f>+I95*F140+E140</f>
        <v>0</v>
      </c>
      <c r="H140" s="390">
        <f>I96*F140+E140</f>
        <v>0</v>
      </c>
      <c r="I140" s="402">
        <f t="shared" si="2"/>
        <v>0</v>
      </c>
      <c r="J140" s="402"/>
      <c r="K140" s="790"/>
      <c r="L140" s="824"/>
      <c r="M140" s="790"/>
      <c r="N140" s="824"/>
      <c r="O140" s="824"/>
      <c r="P140" s="409"/>
    </row>
    <row r="141" spans="3:16" ht="12.75">
      <c r="C141" s="397" t="str">
        <f>IF(D94="","-",+C140+1)</f>
        <v>-</v>
      </c>
      <c r="D141" s="398">
        <f t="shared" si="5"/>
        <v>0</v>
      </c>
      <c r="E141" s="400">
        <f t="shared" si="3"/>
        <v>0</v>
      </c>
      <c r="F141" s="398">
        <f t="shared" si="4"/>
        <v>0</v>
      </c>
      <c r="G141" s="401">
        <f>+I95*F141+E141</f>
        <v>0</v>
      </c>
      <c r="H141" s="390">
        <f>I96*F141+E141</f>
        <v>0</v>
      </c>
      <c r="I141" s="402">
        <f t="shared" si="2"/>
        <v>0</v>
      </c>
      <c r="J141" s="402"/>
      <c r="K141" s="790"/>
      <c r="L141" s="824"/>
      <c r="M141" s="790"/>
      <c r="N141" s="824"/>
      <c r="O141" s="824"/>
      <c r="P141" s="409"/>
    </row>
    <row r="142" spans="3:16" ht="12.75">
      <c r="C142" s="397" t="str">
        <f>IF(D94="","-",+C141+1)</f>
        <v>-</v>
      </c>
      <c r="D142" s="398">
        <f t="shared" si="5"/>
        <v>0</v>
      </c>
      <c r="E142" s="400">
        <f t="shared" si="3"/>
        <v>0</v>
      </c>
      <c r="F142" s="398">
        <f t="shared" si="4"/>
        <v>0</v>
      </c>
      <c r="G142" s="401">
        <f>+I95*F142+E142</f>
        <v>0</v>
      </c>
      <c r="H142" s="390">
        <f>I96*F142+E142</f>
        <v>0</v>
      </c>
      <c r="I142" s="402">
        <f t="shared" si="2"/>
        <v>0</v>
      </c>
      <c r="J142" s="402"/>
      <c r="K142" s="790"/>
      <c r="L142" s="824"/>
      <c r="M142" s="790"/>
      <c r="N142" s="824"/>
      <c r="O142" s="824"/>
      <c r="P142" s="409"/>
    </row>
    <row r="143" spans="3:16" ht="12.75">
      <c r="C143" s="397" t="str">
        <f>IF(D94="","-",+C142+1)</f>
        <v>-</v>
      </c>
      <c r="D143" s="398">
        <f t="shared" si="5"/>
        <v>0</v>
      </c>
      <c r="E143" s="400">
        <f t="shared" si="3"/>
        <v>0</v>
      </c>
      <c r="F143" s="398">
        <f t="shared" si="4"/>
        <v>0</v>
      </c>
      <c r="G143" s="401">
        <f>+I95*F143+E143</f>
        <v>0</v>
      </c>
      <c r="H143" s="390">
        <f>I96*F143+E143</f>
        <v>0</v>
      </c>
      <c r="I143" s="402">
        <f t="shared" si="2"/>
        <v>0</v>
      </c>
      <c r="J143" s="402"/>
      <c r="K143" s="790"/>
      <c r="L143" s="824"/>
      <c r="M143" s="790"/>
      <c r="N143" s="824"/>
      <c r="O143" s="824"/>
      <c r="P143" s="409"/>
    </row>
    <row r="144" spans="3:16" ht="12.75">
      <c r="C144" s="397" t="str">
        <f>IF(D94="","-",+C143+1)</f>
        <v>-</v>
      </c>
      <c r="D144" s="398">
        <f t="shared" si="5"/>
        <v>0</v>
      </c>
      <c r="E144" s="400">
        <f t="shared" si="3"/>
        <v>0</v>
      </c>
      <c r="F144" s="398">
        <f t="shared" si="4"/>
        <v>0</v>
      </c>
      <c r="G144" s="401">
        <f>+I95*F144+E144</f>
        <v>0</v>
      </c>
      <c r="H144" s="390">
        <f>I96*F144+E144</f>
        <v>0</v>
      </c>
      <c r="I144" s="402">
        <f t="shared" si="2"/>
        <v>0</v>
      </c>
      <c r="J144" s="402"/>
      <c r="K144" s="790"/>
      <c r="L144" s="824"/>
      <c r="M144" s="790"/>
      <c r="N144" s="824"/>
      <c r="O144" s="824"/>
      <c r="P144" s="409"/>
    </row>
    <row r="145" spans="3:16" ht="12.75">
      <c r="C145" s="397" t="str">
        <f>IF(D94="","-",+C144+1)</f>
        <v>-</v>
      </c>
      <c r="D145" s="398">
        <f t="shared" si="5"/>
        <v>0</v>
      </c>
      <c r="E145" s="400">
        <f t="shared" si="3"/>
        <v>0</v>
      </c>
      <c r="F145" s="398">
        <f t="shared" si="4"/>
        <v>0</v>
      </c>
      <c r="G145" s="401">
        <f>+I95*F145+E145</f>
        <v>0</v>
      </c>
      <c r="H145" s="390">
        <f>I96*F145+E145</f>
        <v>0</v>
      </c>
      <c r="I145" s="402">
        <f t="shared" si="2"/>
        <v>0</v>
      </c>
      <c r="J145" s="402"/>
      <c r="K145" s="790"/>
      <c r="L145" s="824"/>
      <c r="M145" s="790"/>
      <c r="N145" s="824"/>
      <c r="O145" s="824"/>
      <c r="P145" s="409"/>
    </row>
    <row r="146" spans="3:16" ht="12.75">
      <c r="C146" s="397" t="str">
        <f>IF(D94="","-",+C145+1)</f>
        <v>-</v>
      </c>
      <c r="D146" s="398">
        <f t="shared" si="5"/>
        <v>0</v>
      </c>
      <c r="E146" s="400">
        <f t="shared" si="3"/>
        <v>0</v>
      </c>
      <c r="F146" s="398">
        <f t="shared" si="4"/>
        <v>0</v>
      </c>
      <c r="G146" s="401">
        <f>+I95*F146+E146</f>
        <v>0</v>
      </c>
      <c r="H146" s="390">
        <f>I96*F146+E146</f>
        <v>0</v>
      </c>
      <c r="I146" s="402">
        <f t="shared" si="2"/>
        <v>0</v>
      </c>
      <c r="J146" s="402"/>
      <c r="K146" s="790"/>
      <c r="L146" s="824"/>
      <c r="M146" s="790"/>
      <c r="N146" s="824"/>
      <c r="O146" s="824"/>
      <c r="P146" s="409"/>
    </row>
    <row r="147" spans="3:16" ht="12.75">
      <c r="C147" s="397" t="str">
        <f>IF(D94="","-",+C146+1)</f>
        <v>-</v>
      </c>
      <c r="D147" s="398">
        <f t="shared" si="5"/>
        <v>0</v>
      </c>
      <c r="E147" s="400">
        <f t="shared" si="3"/>
        <v>0</v>
      </c>
      <c r="F147" s="398">
        <f t="shared" si="4"/>
        <v>0</v>
      </c>
      <c r="G147" s="401">
        <f>+I95*F147+E147</f>
        <v>0</v>
      </c>
      <c r="H147" s="390">
        <f>I96*F147+E147</f>
        <v>0</v>
      </c>
      <c r="I147" s="402">
        <f t="shared" si="2"/>
        <v>0</v>
      </c>
      <c r="J147" s="402"/>
      <c r="K147" s="790"/>
      <c r="L147" s="824"/>
      <c r="M147" s="790"/>
      <c r="N147" s="824"/>
      <c r="O147" s="824"/>
      <c r="P147" s="409"/>
    </row>
    <row r="148" spans="3:16" ht="12.75">
      <c r="C148" s="397" t="str">
        <f>IF(D94="","-",+C147+1)</f>
        <v>-</v>
      </c>
      <c r="D148" s="398">
        <f t="shared" si="5"/>
        <v>0</v>
      </c>
      <c r="E148" s="400">
        <f t="shared" si="3"/>
        <v>0</v>
      </c>
      <c r="F148" s="398">
        <f t="shared" si="4"/>
        <v>0</v>
      </c>
      <c r="G148" s="401">
        <f>+I95*F148+E148</f>
        <v>0</v>
      </c>
      <c r="H148" s="390">
        <f>I96*F148+E148</f>
        <v>0</v>
      </c>
      <c r="I148" s="402">
        <f t="shared" si="2"/>
        <v>0</v>
      </c>
      <c r="J148" s="402"/>
      <c r="K148" s="790"/>
      <c r="L148" s="824"/>
      <c r="M148" s="790"/>
      <c r="N148" s="824"/>
      <c r="O148" s="824"/>
      <c r="P148" s="409"/>
    </row>
    <row r="149" spans="3:16" ht="12.75">
      <c r="C149" s="397" t="str">
        <f>IF(D94="","-",+C148+1)</f>
        <v>-</v>
      </c>
      <c r="D149" s="398">
        <f t="shared" si="5"/>
        <v>0</v>
      </c>
      <c r="E149" s="400">
        <f t="shared" si="3"/>
        <v>0</v>
      </c>
      <c r="F149" s="398">
        <f t="shared" si="4"/>
        <v>0</v>
      </c>
      <c r="G149" s="401">
        <f>+I95*F149+E149</f>
        <v>0</v>
      </c>
      <c r="H149" s="390">
        <f>I96*F149+E149</f>
        <v>0</v>
      </c>
      <c r="I149" s="402">
        <f t="shared" si="2"/>
        <v>0</v>
      </c>
      <c r="J149" s="402"/>
      <c r="K149" s="790"/>
      <c r="L149" s="824"/>
      <c r="M149" s="790"/>
      <c r="N149" s="824"/>
      <c r="O149" s="824"/>
      <c r="P149" s="409"/>
    </row>
    <row r="150" spans="3:16" ht="12.75">
      <c r="C150" s="397" t="str">
        <f>IF(D94="","-",+C149+1)</f>
        <v>-</v>
      </c>
      <c r="D150" s="398">
        <f t="shared" si="5"/>
        <v>0</v>
      </c>
      <c r="E150" s="400">
        <f t="shared" si="3"/>
        <v>0</v>
      </c>
      <c r="F150" s="398">
        <f t="shared" si="4"/>
        <v>0</v>
      </c>
      <c r="G150" s="401">
        <f>+I95*F150+E150</f>
        <v>0</v>
      </c>
      <c r="H150" s="390">
        <f>I96*F150+E150</f>
        <v>0</v>
      </c>
      <c r="I150" s="402">
        <f t="shared" si="2"/>
        <v>0</v>
      </c>
      <c r="J150" s="402"/>
      <c r="K150" s="790"/>
      <c r="L150" s="824"/>
      <c r="M150" s="790"/>
      <c r="N150" s="824"/>
      <c r="O150" s="824"/>
      <c r="P150" s="409"/>
    </row>
    <row r="151" spans="3:16" ht="12.75">
      <c r="C151" s="397" t="str">
        <f>IF(D94="","-",+C150+1)</f>
        <v>-</v>
      </c>
      <c r="D151" s="398">
        <f t="shared" si="5"/>
        <v>0</v>
      </c>
      <c r="E151" s="400">
        <f t="shared" si="3"/>
        <v>0</v>
      </c>
      <c r="F151" s="398">
        <f t="shared" si="4"/>
        <v>0</v>
      </c>
      <c r="G151" s="401">
        <f>+I95*F151+E151</f>
        <v>0</v>
      </c>
      <c r="H151" s="390">
        <f>I96*F151+E151</f>
        <v>0</v>
      </c>
      <c r="I151" s="402">
        <f t="shared" si="2"/>
        <v>0</v>
      </c>
      <c r="J151" s="402"/>
      <c r="K151" s="790"/>
      <c r="L151" s="824"/>
      <c r="M151" s="790"/>
      <c r="N151" s="824"/>
      <c r="O151" s="824"/>
      <c r="P151" s="409"/>
    </row>
    <row r="152" spans="3:16" ht="12.75">
      <c r="C152" s="397" t="str">
        <f>IF(D94="","-",+C151+1)</f>
        <v>-</v>
      </c>
      <c r="D152" s="398">
        <f t="shared" si="5"/>
        <v>0</v>
      </c>
      <c r="E152" s="400">
        <f t="shared" si="3"/>
        <v>0</v>
      </c>
      <c r="F152" s="398">
        <f t="shared" si="4"/>
        <v>0</v>
      </c>
      <c r="G152" s="401">
        <f>+I95*F152+E152</f>
        <v>0</v>
      </c>
      <c r="H152" s="390">
        <f>I96*F152+E152</f>
        <v>0</v>
      </c>
      <c r="I152" s="402">
        <f t="shared" si="2"/>
        <v>0</v>
      </c>
      <c r="J152" s="402"/>
      <c r="K152" s="790"/>
      <c r="L152" s="824"/>
      <c r="M152" s="790"/>
      <c r="N152" s="824"/>
      <c r="O152" s="824"/>
      <c r="P152" s="409"/>
    </row>
    <row r="153" spans="3:16" ht="12.75">
      <c r="C153" s="397" t="str">
        <f>IF(D94="","-",+C152+1)</f>
        <v>-</v>
      </c>
      <c r="D153" s="398">
        <f t="shared" si="5"/>
        <v>0</v>
      </c>
      <c r="E153" s="400">
        <f t="shared" si="3"/>
        <v>0</v>
      </c>
      <c r="F153" s="398">
        <f t="shared" si="4"/>
        <v>0</v>
      </c>
      <c r="G153" s="401">
        <f>+I95*F153+E153</f>
        <v>0</v>
      </c>
      <c r="H153" s="390">
        <f>I96*F153+E153</f>
        <v>0</v>
      </c>
      <c r="I153" s="402">
        <f t="shared" si="2"/>
        <v>0</v>
      </c>
      <c r="J153" s="402"/>
      <c r="K153" s="790"/>
      <c r="L153" s="824"/>
      <c r="M153" s="790"/>
      <c r="N153" s="824"/>
      <c r="O153" s="824"/>
      <c r="P153" s="409"/>
    </row>
    <row r="154" spans="3:16" ht="12.75">
      <c r="C154" s="397" t="str">
        <f>IF(D94="","-",+C153+1)</f>
        <v>-</v>
      </c>
      <c r="D154" s="398">
        <f t="shared" si="5"/>
        <v>0</v>
      </c>
      <c r="E154" s="400">
        <f t="shared" si="3"/>
        <v>0</v>
      </c>
      <c r="F154" s="398">
        <f t="shared" si="4"/>
        <v>0</v>
      </c>
      <c r="G154" s="401">
        <f>+I95*F154+E154</f>
        <v>0</v>
      </c>
      <c r="H154" s="390">
        <f>I96*F154+E154</f>
        <v>0</v>
      </c>
      <c r="I154" s="402">
        <f t="shared" si="2"/>
        <v>0</v>
      </c>
      <c r="J154" s="402"/>
      <c r="K154" s="790"/>
      <c r="L154" s="824"/>
      <c r="M154" s="790"/>
      <c r="N154" s="824"/>
      <c r="O154" s="824"/>
      <c r="P154" s="409"/>
    </row>
    <row r="155" spans="3:16" ht="12.75">
      <c r="C155" s="397" t="str">
        <f>IF(D94="","-",+C154+1)</f>
        <v>-</v>
      </c>
      <c r="D155" s="398">
        <f t="shared" si="5"/>
        <v>0</v>
      </c>
      <c r="E155" s="400">
        <f t="shared" si="3"/>
        <v>0</v>
      </c>
      <c r="F155" s="398">
        <f t="shared" si="4"/>
        <v>0</v>
      </c>
      <c r="G155" s="401">
        <f>+I95*F155+E155</f>
        <v>0</v>
      </c>
      <c r="H155" s="390">
        <f>I96*F155+E155</f>
        <v>0</v>
      </c>
      <c r="I155" s="402">
        <f t="shared" si="2"/>
        <v>0</v>
      </c>
      <c r="J155" s="402"/>
      <c r="K155" s="790"/>
      <c r="L155" s="824"/>
      <c r="M155" s="790"/>
      <c r="N155" s="824"/>
      <c r="O155" s="824"/>
      <c r="P155" s="409"/>
    </row>
    <row r="156" spans="3:16" ht="12.75">
      <c r="C156" s="397" t="str">
        <f>IF(D94="","-",+C155+1)</f>
        <v>-</v>
      </c>
      <c r="D156" s="398">
        <f t="shared" si="5"/>
        <v>0</v>
      </c>
      <c r="E156" s="400">
        <f t="shared" si="3"/>
        <v>0</v>
      </c>
      <c r="F156" s="398">
        <f t="shared" si="4"/>
        <v>0</v>
      </c>
      <c r="G156" s="401">
        <f>+I95*F156+E156</f>
        <v>0</v>
      </c>
      <c r="H156" s="390">
        <f>I96*F156+E156</f>
        <v>0</v>
      </c>
      <c r="I156" s="402">
        <f t="shared" si="2"/>
        <v>0</v>
      </c>
      <c r="J156" s="402"/>
      <c r="K156" s="790"/>
      <c r="L156" s="824"/>
      <c r="M156" s="790"/>
      <c r="N156" s="824"/>
      <c r="O156" s="824"/>
      <c r="P156" s="409"/>
    </row>
    <row r="157" spans="3:16" ht="12.75">
      <c r="C157" s="397" t="str">
        <f>IF(D94="","-",+C156+1)</f>
        <v>-</v>
      </c>
      <c r="D157" s="398">
        <f t="shared" si="5"/>
        <v>0</v>
      </c>
      <c r="E157" s="400">
        <f t="shared" si="3"/>
        <v>0</v>
      </c>
      <c r="F157" s="398">
        <f t="shared" si="4"/>
        <v>0</v>
      </c>
      <c r="G157" s="401">
        <f>+I95*F157+E157</f>
        <v>0</v>
      </c>
      <c r="H157" s="390">
        <f>I96*F157+E157</f>
        <v>0</v>
      </c>
      <c r="I157" s="402">
        <f t="shared" si="2"/>
        <v>0</v>
      </c>
      <c r="J157" s="402"/>
      <c r="K157" s="790"/>
      <c r="L157" s="824"/>
      <c r="M157" s="790"/>
      <c r="N157" s="824"/>
      <c r="O157" s="824"/>
      <c r="P157" s="409"/>
    </row>
    <row r="158" spans="3:16" ht="12.75">
      <c r="C158" s="397" t="str">
        <f>IF(D94="","-",+C157+1)</f>
        <v>-</v>
      </c>
      <c r="D158" s="398">
        <f t="shared" si="5"/>
        <v>0</v>
      </c>
      <c r="E158" s="400">
        <f t="shared" si="3"/>
        <v>0</v>
      </c>
      <c r="F158" s="398">
        <f t="shared" si="4"/>
        <v>0</v>
      </c>
      <c r="G158" s="401">
        <f>+I95*F158+E158</f>
        <v>0</v>
      </c>
      <c r="H158" s="390">
        <f>I96*F158+E158</f>
        <v>0</v>
      </c>
      <c r="I158" s="402">
        <f t="shared" si="2"/>
        <v>0</v>
      </c>
      <c r="J158" s="402"/>
      <c r="K158" s="790"/>
      <c r="L158" s="824"/>
      <c r="M158" s="790"/>
      <c r="N158" s="824"/>
      <c r="O158" s="824"/>
      <c r="P158" s="409"/>
    </row>
    <row r="159" spans="3:16" ht="13.5" thickBot="1">
      <c r="C159" s="403" t="str">
        <f>IF(D94="","-",+C158+1)</f>
        <v>-</v>
      </c>
      <c r="D159" s="404">
        <f t="shared" si="5"/>
        <v>0</v>
      </c>
      <c r="E159" s="405">
        <f t="shared" si="3"/>
        <v>0</v>
      </c>
      <c r="F159" s="404">
        <f t="shared" si="4"/>
        <v>0</v>
      </c>
      <c r="G159" s="406">
        <f>+I95*F159+E159</f>
        <v>0</v>
      </c>
      <c r="H159" s="406">
        <f>I96*F159+E159</f>
        <v>0</v>
      </c>
      <c r="I159" s="408">
        <f t="shared" si="2"/>
        <v>0</v>
      </c>
      <c r="J159" s="402"/>
      <c r="K159" s="791"/>
      <c r="L159" s="825"/>
      <c r="M159" s="791"/>
      <c r="N159" s="825"/>
      <c r="O159" s="825"/>
      <c r="P159" s="409"/>
    </row>
    <row r="160" spans="3:16" ht="12.75">
      <c r="C160" s="398" t="s">
        <v>911</v>
      </c>
      <c r="D160" s="377"/>
      <c r="E160" s="377">
        <f>SUM(E100:E159)</f>
        <v>0</v>
      </c>
      <c r="F160" s="377"/>
      <c r="G160" s="377">
        <f>SUM(G100:G159)</f>
        <v>0</v>
      </c>
      <c r="H160" s="377">
        <f>SUM(H100:H159)</f>
        <v>0</v>
      </c>
      <c r="I160" s="377">
        <f>SUM(I100:I159)</f>
        <v>0</v>
      </c>
      <c r="J160" s="377"/>
      <c r="K160" s="377"/>
      <c r="L160" s="377"/>
      <c r="M160" s="377"/>
      <c r="N160" s="377"/>
      <c r="O160" s="102"/>
      <c r="P160" s="377"/>
    </row>
    <row r="161" spans="4:16" ht="12.75">
      <c r="D161" s="353"/>
      <c r="E161" s="102"/>
      <c r="F161" s="102"/>
      <c r="G161" s="102"/>
      <c r="H161" s="354"/>
      <c r="I161" s="354"/>
      <c r="J161" s="377"/>
      <c r="K161" s="354"/>
      <c r="L161" s="354"/>
      <c r="M161" s="354"/>
      <c r="N161" s="354"/>
      <c r="O161" s="102"/>
      <c r="P161" s="377"/>
    </row>
    <row r="162" spans="3:16" ht="12.75">
      <c r="C162" s="102" t="s">
        <v>317</v>
      </c>
      <c r="D162" s="353"/>
      <c r="E162" s="102"/>
      <c r="F162" s="102"/>
      <c r="G162" s="102"/>
      <c r="H162" s="354"/>
      <c r="I162" s="354"/>
      <c r="J162" s="377"/>
      <c r="K162" s="354"/>
      <c r="L162" s="354"/>
      <c r="M162" s="354"/>
      <c r="N162" s="354"/>
      <c r="O162" s="102"/>
      <c r="P162" s="377"/>
    </row>
    <row r="163" spans="3:16" ht="12.75">
      <c r="C163" s="102"/>
      <c r="D163" s="353"/>
      <c r="E163" s="102"/>
      <c r="F163" s="102"/>
      <c r="G163" s="102"/>
      <c r="H163" s="354"/>
      <c r="I163" s="354"/>
      <c r="J163" s="377"/>
      <c r="K163" s="354"/>
      <c r="L163" s="354"/>
      <c r="M163" s="354"/>
      <c r="N163" s="354"/>
      <c r="O163" s="102"/>
      <c r="P163" s="377"/>
    </row>
    <row r="164" spans="3:16" ht="12.75">
      <c r="C164" s="1056" t="s">
        <v>318</v>
      </c>
      <c r="D164" s="398"/>
      <c r="E164" s="398"/>
      <c r="F164" s="398"/>
      <c r="G164" s="377"/>
      <c r="H164" s="377"/>
      <c r="I164" s="409"/>
      <c r="J164" s="409"/>
      <c r="K164" s="409"/>
      <c r="L164" s="409"/>
      <c r="M164" s="409"/>
      <c r="N164" s="409"/>
      <c r="O164" s="102"/>
      <c r="P164" s="409"/>
    </row>
    <row r="165" spans="3:16" ht="12.75">
      <c r="C165" s="413" t="s">
        <v>213</v>
      </c>
      <c r="D165" s="398"/>
      <c r="E165" s="398"/>
      <c r="F165" s="398"/>
      <c r="G165" s="377"/>
      <c r="H165" s="377"/>
      <c r="I165" s="409"/>
      <c r="J165" s="409"/>
      <c r="K165" s="409"/>
      <c r="L165" s="409"/>
      <c r="M165" s="409"/>
      <c r="N165" s="409"/>
      <c r="O165" s="102"/>
      <c r="P165" s="409"/>
    </row>
    <row r="166" spans="3:16" ht="12.75">
      <c r="C166" s="413" t="s">
        <v>912</v>
      </c>
      <c r="D166" s="398"/>
      <c r="E166" s="398"/>
      <c r="F166" s="398"/>
      <c r="G166" s="377"/>
      <c r="H166" s="377"/>
      <c r="I166" s="409"/>
      <c r="J166" s="409"/>
      <c r="K166" s="409"/>
      <c r="L166" s="409"/>
      <c r="M166" s="409"/>
      <c r="N166" s="409"/>
      <c r="O166" s="102"/>
      <c r="P166" s="409"/>
    </row>
    <row r="167" spans="3:16" ht="12.75">
      <c r="C167" s="413"/>
      <c r="D167" s="398"/>
      <c r="E167" s="398"/>
      <c r="F167" s="398"/>
      <c r="G167" s="377"/>
      <c r="H167" s="377"/>
      <c r="I167" s="409"/>
      <c r="J167" s="409"/>
      <c r="K167" s="409"/>
      <c r="L167" s="409"/>
      <c r="M167" s="409"/>
      <c r="N167" s="409"/>
      <c r="O167" s="102"/>
      <c r="P167" s="409"/>
    </row>
    <row r="168" spans="3:15" ht="12.75">
      <c r="C168" s="1228" t="s">
        <v>819</v>
      </c>
      <c r="D168" s="1228"/>
      <c r="E168" s="1228"/>
      <c r="F168" s="1228"/>
      <c r="G168" s="1228"/>
      <c r="H168" s="1228"/>
      <c r="I168" s="1228"/>
      <c r="J168" s="1228"/>
      <c r="K168" s="1228"/>
      <c r="L168" s="1228"/>
      <c r="M168" s="1228"/>
      <c r="N168" s="1228"/>
      <c r="O168" s="1228"/>
    </row>
    <row r="169" spans="3:15" ht="12.75">
      <c r="C169" s="1228"/>
      <c r="D169" s="1228"/>
      <c r="E169" s="1228"/>
      <c r="F169" s="1228"/>
      <c r="G169" s="1228"/>
      <c r="H169" s="1228"/>
      <c r="I169" s="1228"/>
      <c r="J169" s="1228"/>
      <c r="K169" s="1228"/>
      <c r="L169" s="1228"/>
      <c r="M169" s="1228"/>
      <c r="N169" s="1228"/>
      <c r="O169" s="1228"/>
    </row>
  </sheetData>
  <sheetProtection/>
  <mergeCells count="9">
    <mergeCell ref="C168:O169"/>
    <mergeCell ref="K93:O93"/>
    <mergeCell ref="K20:O21"/>
    <mergeCell ref="A1:O1"/>
    <mergeCell ref="C9:H10"/>
    <mergeCell ref="A2:O2"/>
    <mergeCell ref="A3:O3"/>
    <mergeCell ref="A4:O4"/>
    <mergeCell ref="I76:O79"/>
  </mergeCells>
  <conditionalFormatting sqref="C100:C159">
    <cfRule type="cellIs" priority="1" dxfId="1" operator="equal" stopIfTrue="1">
      <formula>$I$93</formula>
    </cfRule>
  </conditionalFormatting>
  <printOptions/>
  <pageMargins left="0.25" right="0.25" top="1" bottom="1" header="0.75" footer="0.5"/>
  <pageSetup fitToHeight="2" horizontalDpi="600" verticalDpi="600" orientation="landscape" scale="38"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dimension ref="A1:Q166"/>
  <sheetViews>
    <sheetView zoomScalePageLayoutView="0" workbookViewId="0" topLeftCell="A1">
      <selection activeCell="E22" sqref="E22"/>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15" customWidth="1"/>
    <col min="10" max="10" width="17.7109375" style="0" bestFit="1" customWidth="1"/>
    <col min="11" max="11" width="2.140625" style="134" customWidth="1"/>
    <col min="12" max="15" width="17.7109375" style="102" customWidth="1"/>
    <col min="16" max="16" width="16.7109375" style="102" customWidth="1"/>
    <col min="17" max="17" width="2.140625" style="0" customWidth="1"/>
  </cols>
  <sheetData>
    <row r="1" spans="1:17" ht="15">
      <c r="A1" s="1207" t="str">
        <f>'Historic TCOS'!$F$3</f>
        <v>AEPTCo subsidiaries in PJM</v>
      </c>
      <c r="B1" s="1207" t="str">
        <f>'Historic TCOS'!$F$3</f>
        <v>AEPTCo subsidiaries in PJM</v>
      </c>
      <c r="C1" s="1207" t="str">
        <f>'Historic TCOS'!$F$3</f>
        <v>AEPTCo subsidiaries in PJM</v>
      </c>
      <c r="D1" s="1207" t="str">
        <f>'Historic TCOS'!$F$3</f>
        <v>AEPTCo subsidiaries in PJM</v>
      </c>
      <c r="E1" s="1207" t="str">
        <f>'Historic TCOS'!$F$3</f>
        <v>AEPTCo subsidiaries in PJM</v>
      </c>
      <c r="F1" s="1207" t="str">
        <f>'Historic TCOS'!$F$3</f>
        <v>AEPTCo subsidiaries in PJM</v>
      </c>
      <c r="G1" s="1207" t="str">
        <f>'Historic TCOS'!$F$3</f>
        <v>AEPTCo subsidiaries in PJM</v>
      </c>
      <c r="H1" s="1207" t="str">
        <f>'Historic TCOS'!$F$3</f>
        <v>AEPTCo subsidiaries in PJM</v>
      </c>
      <c r="I1" s="1207" t="str">
        <f>'Historic TCOS'!$F$3</f>
        <v>AEPTCo subsidiaries in PJM</v>
      </c>
      <c r="J1" s="1207" t="str">
        <f>'Historic TCOS'!$F$3</f>
        <v>AEPTCo subsidiaries in PJM</v>
      </c>
      <c r="K1" s="1207" t="str">
        <f>'Historic TCOS'!$F$3</f>
        <v>AEPTCo subsidiaries in PJM</v>
      </c>
      <c r="L1" s="1207" t="str">
        <f>'Historic TCOS'!$F$3</f>
        <v>AEPTCo subsidiaries in PJM</v>
      </c>
      <c r="M1" s="1207" t="str">
        <f>'Historic TCOS'!$F$3</f>
        <v>AEPTCo subsidiaries in PJM</v>
      </c>
      <c r="N1" s="1207" t="str">
        <f>'Historic TCOS'!$F$3</f>
        <v>AEPTCo subsidiaries in PJM</v>
      </c>
      <c r="O1" s="1207" t="str">
        <f>'Historic TCOS'!$F$3</f>
        <v>AEPTCo subsidiaries in PJM</v>
      </c>
      <c r="P1" s="1207" t="str">
        <f>'Historic TCOS'!$F$3</f>
        <v>AEPTCo subsidiaries in PJM</v>
      </c>
      <c r="Q1" s="134"/>
    </row>
    <row r="2" spans="1:17" ht="15">
      <c r="A2" s="1206" t="str">
        <f>"Cost of Service Formula Rate Using "&amp;'Historic TCOS'!O1&amp;" FF1 Balances"</f>
        <v>Cost of Service Formula Rate Using 2014 FF1 Balances</v>
      </c>
      <c r="B2" s="1206"/>
      <c r="C2" s="1206"/>
      <c r="D2" s="1206"/>
      <c r="E2" s="1206"/>
      <c r="F2" s="1206"/>
      <c r="G2" s="1206"/>
      <c r="H2" s="1206"/>
      <c r="I2" s="1206"/>
      <c r="J2" s="1206"/>
      <c r="K2" s="1206"/>
      <c r="L2" s="1206"/>
      <c r="M2" s="1206"/>
      <c r="N2" s="1206"/>
      <c r="O2" s="1206"/>
      <c r="P2" s="1206"/>
      <c r="Q2" s="134"/>
    </row>
    <row r="3" spans="1:17" ht="15">
      <c r="A3" s="1206" t="s">
        <v>191</v>
      </c>
      <c r="B3" s="1206"/>
      <c r="C3" s="1206"/>
      <c r="D3" s="1206"/>
      <c r="E3" s="1206"/>
      <c r="F3" s="1206"/>
      <c r="G3" s="1206"/>
      <c r="H3" s="1206"/>
      <c r="I3" s="1206"/>
      <c r="J3" s="1206"/>
      <c r="K3" s="1206"/>
      <c r="L3" s="1206"/>
      <c r="M3" s="1206"/>
      <c r="N3" s="1206"/>
      <c r="O3" s="1206"/>
      <c r="P3" s="1206"/>
      <c r="Q3" s="134"/>
    </row>
    <row r="4" spans="1:17" ht="15">
      <c r="A4" s="1210" t="str">
        <f>+'WS A  - RB Support '!A4:F4</f>
        <v>AEP KENTUCKY TRANSMISSION COMPANY</v>
      </c>
      <c r="B4" s="1210"/>
      <c r="C4" s="1210"/>
      <c r="D4" s="1210"/>
      <c r="E4" s="1210"/>
      <c r="F4" s="1210"/>
      <c r="G4" s="1210"/>
      <c r="H4" s="1210"/>
      <c r="I4" s="1210"/>
      <c r="J4" s="1210"/>
      <c r="K4" s="1210"/>
      <c r="L4" s="1210"/>
      <c r="M4" s="1210"/>
      <c r="N4" s="1210"/>
      <c r="O4" s="1210"/>
      <c r="P4" s="1210"/>
      <c r="Q4" s="134"/>
    </row>
    <row r="5" ht="12.75">
      <c r="Q5" s="134"/>
    </row>
    <row r="6" spans="1:17" ht="21">
      <c r="A6" s="410"/>
      <c r="B6" s="146"/>
      <c r="C6" s="146"/>
      <c r="O6" s="316" t="str">
        <f>"Page "&amp;Q6&amp;" of "</f>
        <v>Page 1 of </v>
      </c>
      <c r="P6" s="317">
        <f>COUNT(Q$6:Q$59693)</f>
        <v>2</v>
      </c>
      <c r="Q6" s="891">
        <v>1</v>
      </c>
    </row>
    <row r="7" spans="3:17" ht="17.25">
      <c r="C7" s="320"/>
      <c r="Q7" s="134"/>
    </row>
    <row r="8" ht="12.75">
      <c r="Q8" s="134"/>
    </row>
    <row r="9" spans="2:17" ht="15.75">
      <c r="B9" s="319" t="s">
        <v>610</v>
      </c>
      <c r="C9" s="1236" t="str">
        <f>"Calculate Return and Income Taxes with "&amp;F15&amp;" basis point ROE increase for Projects Qualified for Regional Billing."</f>
        <v>Calculate Return and Income Taxes with 0 basis point ROE increase for Projects Qualified for Regional Billing.</v>
      </c>
      <c r="D9" s="1164"/>
      <c r="E9" s="1164"/>
      <c r="F9" s="1164"/>
      <c r="G9" s="1164"/>
      <c r="H9" s="1164"/>
      <c r="I9" s="1164"/>
      <c r="Q9" s="134"/>
    </row>
    <row r="10" spans="3:17" ht="18.75" customHeight="1">
      <c r="C10" s="1164"/>
      <c r="D10" s="1164"/>
      <c r="E10" s="1164"/>
      <c r="F10" s="1164"/>
      <c r="G10" s="1164"/>
      <c r="H10" s="1164"/>
      <c r="I10" s="1164"/>
      <c r="Q10" s="134"/>
    </row>
    <row r="11" spans="3:17" ht="15.75" customHeight="1">
      <c r="C11" s="136"/>
      <c r="D11" s="136"/>
      <c r="E11" s="136"/>
      <c r="F11" s="136"/>
      <c r="G11" s="136"/>
      <c r="H11" s="136"/>
      <c r="I11" s="136"/>
      <c r="Q11" s="134"/>
    </row>
    <row r="12" spans="3:17" ht="15">
      <c r="C12" s="321" t="str">
        <f>"A.   Determine 'R' with hypothetical "&amp;F15&amp;" basis point increase in ROE for Identified Projects"</f>
        <v>A.   Determine 'R' with hypothetical 0 basis point increase in ROE for Identified Projects</v>
      </c>
      <c r="D12" s="696"/>
      <c r="Q12" s="134"/>
    </row>
    <row r="13" spans="3:17" ht="12.75">
      <c r="C13" s="707"/>
      <c r="D13" s="696"/>
      <c r="Q13" s="134"/>
    </row>
    <row r="14" spans="3:17" ht="12.75">
      <c r="C14" s="322" t="str">
        <f>"   ROE w/o incentives  (True-Up TCOS, ln "&amp;'True-UP TCOS'!B275&amp;")"</f>
        <v>   ROE w/o incentives  (True-Up TCOS, ln 176)</v>
      </c>
      <c r="D14" s="696"/>
      <c r="E14" s="323"/>
      <c r="F14" s="535">
        <f>+'True-UP TCOS'!J275</f>
        <v>0.1149</v>
      </c>
      <c r="G14" s="535"/>
      <c r="H14" s="323"/>
      <c r="I14" s="324"/>
      <c r="J14" s="324"/>
      <c r="K14" s="325"/>
      <c r="L14" s="324"/>
      <c r="M14" s="324"/>
      <c r="N14" s="324"/>
      <c r="O14" s="324"/>
      <c r="P14" s="324"/>
      <c r="Q14" s="325"/>
    </row>
    <row r="15" spans="3:17" ht="13.5" thickBot="1">
      <c r="C15" s="322" t="s">
        <v>860</v>
      </c>
      <c r="D15" s="696"/>
      <c r="E15" s="323"/>
      <c r="F15" s="1150">
        <v>0</v>
      </c>
      <c r="G15" s="323" t="s">
        <v>188</v>
      </c>
      <c r="H15" s="323"/>
      <c r="I15" s="324"/>
      <c r="J15" s="324"/>
      <c r="K15" s="325"/>
      <c r="L15" s="324"/>
      <c r="M15" s="324"/>
      <c r="N15" s="324"/>
      <c r="O15" s="324"/>
      <c r="P15" s="324"/>
      <c r="Q15" s="325"/>
    </row>
    <row r="16" spans="3:17" ht="12.75">
      <c r="C16" s="322" t="str">
        <f>"   ROE with additional "&amp;F15&amp;" basis point incentive"</f>
        <v>   ROE with additional 0 basis point incentive</v>
      </c>
      <c r="D16" s="323"/>
      <c r="E16" s="323"/>
      <c r="F16" s="536">
        <f>IF((F14+(F15/10000)&gt;0.125),"ERROR",F14+(F15/10000))</f>
        <v>0.1149</v>
      </c>
      <c r="G16" s="755" t="str">
        <f>"&lt;== ROE Including Incentives  Cannot Exceed "&amp;12.5&amp;"% Until July 1, 2012"</f>
        <v>&lt;== ROE Including Incentives  Cannot Exceed 12.5% Until July 1, 2012</v>
      </c>
      <c r="H16" s="323"/>
      <c r="I16" s="324"/>
      <c r="J16" s="324"/>
      <c r="K16" s="325"/>
      <c r="L16" s="756" t="s">
        <v>153</v>
      </c>
      <c r="M16" s="327"/>
      <c r="N16" s="327"/>
      <c r="O16" s="327"/>
      <c r="P16" s="328"/>
      <c r="Q16" s="325"/>
    </row>
    <row r="17" spans="3:17" ht="12.75">
      <c r="C17" s="322" t="str">
        <f>"   Determine R  ( cost of long term debt, cost of preferred stock and equity percentage is from the True-Up TCOS, lns "&amp;'True-UP TCOS'!B273&amp;" through"&amp;'True-UP TCOS'!B275&amp;")"</f>
        <v>   Determine R  ( cost of long term debt, cost of preferred stock and equity percentage is from the True-Up TCOS, lns 174 through176)</v>
      </c>
      <c r="D17" s="696"/>
      <c r="E17" s="323"/>
      <c r="F17" s="326"/>
      <c r="G17" s="326"/>
      <c r="H17" s="323"/>
      <c r="I17" s="324"/>
      <c r="J17" s="324"/>
      <c r="K17" s="325"/>
      <c r="L17" s="757"/>
      <c r="M17" s="325"/>
      <c r="N17" s="325" t="s">
        <v>862</v>
      </c>
      <c r="O17" s="325" t="s">
        <v>863</v>
      </c>
      <c r="P17" s="758" t="s">
        <v>865</v>
      </c>
      <c r="Q17" s="325"/>
    </row>
    <row r="18" spans="3:17" ht="12.75">
      <c r="C18" s="325"/>
      <c r="D18" s="329" t="s">
        <v>585</v>
      </c>
      <c r="E18" s="329" t="s">
        <v>584</v>
      </c>
      <c r="F18" s="330" t="s">
        <v>861</v>
      </c>
      <c r="G18" s="330"/>
      <c r="H18" s="323"/>
      <c r="I18" s="324"/>
      <c r="J18" s="324"/>
      <c r="K18" s="325"/>
      <c r="L18" s="757" t="s">
        <v>151</v>
      </c>
      <c r="M18" s="759">
        <f>+'Historic TCOS'!O1</f>
        <v>2014</v>
      </c>
      <c r="N18" s="343"/>
      <c r="O18" s="343"/>
      <c r="P18" s="760"/>
      <c r="Q18" s="325"/>
    </row>
    <row r="19" spans="3:17" ht="12.75">
      <c r="C19" s="331" t="s">
        <v>866</v>
      </c>
      <c r="D19" s="803">
        <f>+'True-UP TCOS'!G273</f>
        <v>0.5255667870741091</v>
      </c>
      <c r="E19" s="332">
        <f>+'True-UP TCOS'!J273</f>
        <v>0.053197378025543446</v>
      </c>
      <c r="F19" s="548">
        <f>E19*D19</f>
        <v>0.02795877504965168</v>
      </c>
      <c r="G19" s="548"/>
      <c r="H19" s="323"/>
      <c r="I19" s="324"/>
      <c r="J19" s="333"/>
      <c r="K19" s="334"/>
      <c r="L19" s="761"/>
      <c r="M19" s="762" t="s">
        <v>152</v>
      </c>
      <c r="N19" s="763"/>
      <c r="O19" s="763"/>
      <c r="P19" s="764">
        <f>+O19-N19</f>
        <v>0</v>
      </c>
      <c r="Q19" s="334"/>
    </row>
    <row r="20" spans="3:17" ht="13.5" thickBot="1">
      <c r="C20" s="331" t="s">
        <v>867</v>
      </c>
      <c r="D20" s="803">
        <f>+'True-UP TCOS'!G274</f>
        <v>0</v>
      </c>
      <c r="E20" s="332">
        <f>+'True-UP TCOS'!J274</f>
        <v>0</v>
      </c>
      <c r="F20" s="548">
        <f>E20*D20</f>
        <v>0</v>
      </c>
      <c r="G20" s="548"/>
      <c r="H20" s="335"/>
      <c r="I20" s="335"/>
      <c r="J20" s="336"/>
      <c r="K20" s="337"/>
      <c r="L20" s="761"/>
      <c r="M20" s="762" t="s">
        <v>868</v>
      </c>
      <c r="N20" s="765">
        <f>+M89</f>
        <v>0</v>
      </c>
      <c r="O20" s="765">
        <f>+N89</f>
        <v>0</v>
      </c>
      <c r="P20" s="766">
        <f>+O20-N20</f>
        <v>0</v>
      </c>
      <c r="Q20" s="337"/>
    </row>
    <row r="21" spans="3:17" ht="12.75">
      <c r="C21" s="338" t="s">
        <v>839</v>
      </c>
      <c r="D21" s="803">
        <f>+'True-UP TCOS'!G275</f>
        <v>0.4744332129258909</v>
      </c>
      <c r="E21" s="332">
        <f>+F16</f>
        <v>0.1149</v>
      </c>
      <c r="F21" s="549">
        <f>E21*D21</f>
        <v>0.05451237616518487</v>
      </c>
      <c r="G21" s="549"/>
      <c r="H21" s="335"/>
      <c r="I21" s="335"/>
      <c r="J21" s="336"/>
      <c r="K21" s="337"/>
      <c r="L21" s="761"/>
      <c r="M21" s="762" t="str">
        <f>"True-up of ARR For "&amp;'Historic TCOS'!O1&amp;""</f>
        <v>True-up of ARR For 2014</v>
      </c>
      <c r="N21" s="398">
        <f>+N20-N19</f>
        <v>0</v>
      </c>
      <c r="O21" s="398">
        <f>+O20-O19</f>
        <v>0</v>
      </c>
      <c r="P21" s="767">
        <f>+P20-P19</f>
        <v>0</v>
      </c>
      <c r="Q21" s="337"/>
    </row>
    <row r="22" spans="3:17" ht="12.75">
      <c r="C22" s="322"/>
      <c r="D22"/>
      <c r="E22" s="339" t="s">
        <v>869</v>
      </c>
      <c r="F22" s="548">
        <f>SUM(F19:F21)</f>
        <v>0.08247115121483654</v>
      </c>
      <c r="G22" s="548"/>
      <c r="H22" s="335"/>
      <c r="I22" s="335"/>
      <c r="J22" s="336"/>
      <c r="K22" s="337"/>
      <c r="L22" s="761"/>
      <c r="M22" s="343"/>
      <c r="N22" s="343"/>
      <c r="O22" s="343"/>
      <c r="P22" s="760"/>
      <c r="Q22" s="337"/>
    </row>
    <row r="23" spans="3:17" ht="13.5" thickBot="1">
      <c r="C23" s="707"/>
      <c r="D23" s="340"/>
      <c r="E23" s="340"/>
      <c r="F23" s="335"/>
      <c r="G23" s="335"/>
      <c r="H23" s="335"/>
      <c r="I23" s="335"/>
      <c r="J23" s="335"/>
      <c r="K23" s="341"/>
      <c r="L23" s="768"/>
      <c r="M23" s="769"/>
      <c r="N23" s="770"/>
      <c r="O23" s="770"/>
      <c r="P23" s="766"/>
      <c r="Q23" s="341"/>
    </row>
    <row r="24" spans="3:17" ht="15">
      <c r="C24" s="321" t="str">
        <f>"B.   Determine Return using 'R' with hypothetical "&amp;F15&amp;" basis point ROE increase for Identified Projects."</f>
        <v>B.   Determine Return using 'R' with hypothetical 0 basis point ROE increase for Identified Projects.</v>
      </c>
      <c r="D24" s="340"/>
      <c r="E24" s="340"/>
      <c r="F24" s="342"/>
      <c r="G24" s="342"/>
      <c r="H24" s="335"/>
      <c r="I24" s="323"/>
      <c r="J24" s="335"/>
      <c r="K24" s="341"/>
      <c r="L24" s="335"/>
      <c r="M24" s="335"/>
      <c r="N24" s="335"/>
      <c r="O24" s="335"/>
      <c r="P24" s="335"/>
      <c r="Q24" s="341"/>
    </row>
    <row r="25" spans="3:17" ht="12.75">
      <c r="C25" s="325"/>
      <c r="D25" s="340"/>
      <c r="E25" s="340"/>
      <c r="F25" s="341"/>
      <c r="G25" s="341"/>
      <c r="H25" s="341"/>
      <c r="I25" s="341"/>
      <c r="J25" s="341"/>
      <c r="K25" s="341"/>
      <c r="L25" s="341"/>
      <c r="M25" s="341"/>
      <c r="N25" s="341"/>
      <c r="O25" s="341"/>
      <c r="P25" s="341"/>
      <c r="Q25" s="341"/>
    </row>
    <row r="26" spans="3:17" ht="12.75">
      <c r="C26" s="322" t="str">
        <f>"   Rate Base  (True-Up TCOS, ln "&amp;'True-UP TCOS'!B128&amp;")"</f>
        <v>   Rate Base  (True-Up TCOS, ln 78)</v>
      </c>
      <c r="D26" s="323"/>
      <c r="E26" s="344">
        <f>+'True-UP TCOS'!L128</f>
        <v>1565.375</v>
      </c>
      <c r="F26" s="345"/>
      <c r="G26" s="345"/>
      <c r="H26" s="341"/>
      <c r="I26" s="341"/>
      <c r="J26" s="341"/>
      <c r="K26" s="341"/>
      <c r="L26" s="341"/>
      <c r="M26" s="341"/>
      <c r="N26" s="341"/>
      <c r="O26" s="341"/>
      <c r="P26" s="345"/>
      <c r="Q26" s="341"/>
    </row>
    <row r="27" spans="3:17" ht="12.75">
      <c r="C27" s="325" t="s">
        <v>871</v>
      </c>
      <c r="D27" s="346"/>
      <c r="E27" s="548">
        <f>F22</f>
        <v>0.08247115121483654</v>
      </c>
      <c r="F27" s="341"/>
      <c r="G27" s="341"/>
      <c r="H27" s="341"/>
      <c r="I27" s="341"/>
      <c r="J27" s="341"/>
      <c r="K27" s="341"/>
      <c r="L27" s="341"/>
      <c r="M27" s="341"/>
      <c r="N27" s="341"/>
      <c r="O27" s="341"/>
      <c r="P27" s="341"/>
      <c r="Q27" s="341"/>
    </row>
    <row r="28" spans="3:17" ht="12.75">
      <c r="C28" s="347" t="s">
        <v>872</v>
      </c>
      <c r="D28" s="347"/>
      <c r="E28" s="336">
        <f>E26*E27</f>
        <v>129.09827833292476</v>
      </c>
      <c r="F28" s="341"/>
      <c r="G28" s="341"/>
      <c r="H28" s="341"/>
      <c r="I28" s="341"/>
      <c r="J28" s="337"/>
      <c r="K28" s="337"/>
      <c r="L28" s="337"/>
      <c r="M28" s="337"/>
      <c r="N28" s="337"/>
      <c r="O28" s="337"/>
      <c r="P28" s="341"/>
      <c r="Q28" s="337"/>
    </row>
    <row r="29" spans="3:17" ht="12.75">
      <c r="C29" s="348"/>
      <c r="D29" s="324"/>
      <c r="E29" s="324"/>
      <c r="F29" s="341"/>
      <c r="G29" s="341"/>
      <c r="H29" s="341"/>
      <c r="I29" s="341"/>
      <c r="J29" s="337"/>
      <c r="K29" s="337"/>
      <c r="L29" s="337"/>
      <c r="M29" s="337"/>
      <c r="N29" s="337"/>
      <c r="O29" s="337"/>
      <c r="P29" s="341"/>
      <c r="Q29" s="337"/>
    </row>
    <row r="30" spans="3:17" ht="15">
      <c r="C30" s="321" t="str">
        <f>"C.   Determine Income Taxes using Return with hypothetical "&amp;F15&amp;" basis point ROE increase for Identified Projects."</f>
        <v>C.   Determine Income Taxes using Return with hypothetical 0 basis point ROE increase for Identified Projects.</v>
      </c>
      <c r="D30" s="349"/>
      <c r="E30" s="349"/>
      <c r="F30" s="350"/>
      <c r="G30" s="350"/>
      <c r="H30" s="350"/>
      <c r="I30" s="350"/>
      <c r="J30" s="351"/>
      <c r="K30" s="351"/>
      <c r="L30" s="351"/>
      <c r="M30" s="351"/>
      <c r="N30" s="351"/>
      <c r="O30" s="351"/>
      <c r="P30" s="350"/>
      <c r="Q30" s="351"/>
    </row>
    <row r="31" spans="3:17" ht="12.75">
      <c r="C31" s="322"/>
      <c r="D31" s="324"/>
      <c r="E31" s="324"/>
      <c r="F31" s="341"/>
      <c r="G31" s="341"/>
      <c r="H31" s="341"/>
      <c r="I31" s="341"/>
      <c r="J31" s="337"/>
      <c r="K31" s="337"/>
      <c r="L31" s="337"/>
      <c r="M31" s="337"/>
      <c r="N31" s="337"/>
      <c r="O31" s="337"/>
      <c r="P31" s="341"/>
      <c r="Q31" s="337"/>
    </row>
    <row r="32" spans="3:17" ht="12.75">
      <c r="C32" s="325" t="s">
        <v>873</v>
      </c>
      <c r="D32" s="339"/>
      <c r="E32" s="352">
        <f>E28</f>
        <v>129.09827833292476</v>
      </c>
      <c r="F32" s="341"/>
      <c r="G32" s="341"/>
      <c r="H32" s="341"/>
      <c r="I32" s="341"/>
      <c r="J32" s="341"/>
      <c r="K32" s="341"/>
      <c r="L32" s="341"/>
      <c r="M32" s="341"/>
      <c r="N32" s="341"/>
      <c r="O32" s="341"/>
      <c r="P32" s="341"/>
      <c r="Q32" s="341"/>
    </row>
    <row r="33" spans="3:17" ht="12.75">
      <c r="C33" s="322" t="str">
        <f>"   Effective Tax Rate  (True-Up TCOS, ln "&amp;'True-UP TCOS'!B193&amp;")"</f>
        <v>   Effective Tax Rate  (True-Up TCOS, ln 124)</v>
      </c>
      <c r="D33" s="353"/>
      <c r="E33" s="372">
        <f>+'True-UP TCOS'!G193</f>
        <v>0.42082491780009</v>
      </c>
      <c r="F33" s="102"/>
      <c r="G33" s="102"/>
      <c r="H33" s="102"/>
      <c r="I33" s="354"/>
      <c r="J33" s="102"/>
      <c r="K33" s="343"/>
      <c r="Q33" s="343"/>
    </row>
    <row r="34" spans="3:17" ht="12.75">
      <c r="C34" s="348" t="s">
        <v>874</v>
      </c>
      <c r="D34" s="353"/>
      <c r="E34" s="355">
        <f>E32*E33</f>
        <v>54.327772367586206</v>
      </c>
      <c r="F34" s="102"/>
      <c r="G34" s="102"/>
      <c r="H34" s="102"/>
      <c r="I34" s="354"/>
      <c r="J34" s="102"/>
      <c r="K34" s="343"/>
      <c r="Q34" s="343"/>
    </row>
    <row r="35" spans="3:17" ht="15">
      <c r="C35" s="322" t="s">
        <v>925</v>
      </c>
      <c r="D35" s="72"/>
      <c r="E35" s="356">
        <f>+'True-UP TCOS'!L200</f>
        <v>0</v>
      </c>
      <c r="F35" s="72"/>
      <c r="G35" s="72"/>
      <c r="H35" s="72"/>
      <c r="I35" s="72"/>
      <c r="J35" s="72"/>
      <c r="K35" s="72"/>
      <c r="L35" s="72"/>
      <c r="M35" s="72"/>
      <c r="N35" s="72"/>
      <c r="O35" s="72"/>
      <c r="P35" s="41"/>
      <c r="Q35" s="72"/>
    </row>
    <row r="36" spans="3:17" ht="15">
      <c r="C36" s="348" t="s">
        <v>875</v>
      </c>
      <c r="D36" s="72"/>
      <c r="E36" s="356">
        <f>E34+E35</f>
        <v>54.327772367586206</v>
      </c>
      <c r="F36" s="72"/>
      <c r="G36" s="72"/>
      <c r="H36" s="72"/>
      <c r="I36" s="72"/>
      <c r="J36" s="72"/>
      <c r="K36" s="72"/>
      <c r="L36" s="72"/>
      <c r="M36" s="72"/>
      <c r="N36" s="72"/>
      <c r="O36" s="72"/>
      <c r="P36" s="129"/>
      <c r="Q36" s="72"/>
    </row>
    <row r="37" spans="3:17" ht="12.75" customHeight="1">
      <c r="C37" s="61"/>
      <c r="D37" s="72"/>
      <c r="E37" s="72"/>
      <c r="F37" s="72"/>
      <c r="G37" s="72"/>
      <c r="H37" s="72"/>
      <c r="I37" s="72"/>
      <c r="J37" s="72"/>
      <c r="K37" s="72"/>
      <c r="L37" s="72"/>
      <c r="M37" s="72"/>
      <c r="N37" s="72"/>
      <c r="O37" s="72"/>
      <c r="P37" s="129"/>
      <c r="Q37" s="72"/>
    </row>
    <row r="38" spans="2:17" ht="17.25">
      <c r="B38" s="319" t="s">
        <v>611</v>
      </c>
      <c r="C38" s="320"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29"/>
      <c r="Q38" s="72"/>
    </row>
    <row r="39" spans="3:17" ht="18.75" customHeight="1">
      <c r="C39" s="320" t="str">
        <f>"basis point ROE increase."</f>
        <v>basis point ROE increase.</v>
      </c>
      <c r="D39" s="72"/>
      <c r="E39" s="72"/>
      <c r="F39" s="72"/>
      <c r="G39" s="72"/>
      <c r="H39" s="72"/>
      <c r="I39" s="72"/>
      <c r="J39" s="72"/>
      <c r="K39" s="72"/>
      <c r="L39" s="72"/>
      <c r="M39" s="72"/>
      <c r="N39" s="72"/>
      <c r="O39" s="72"/>
      <c r="P39" s="129"/>
      <c r="Q39" s="72"/>
    </row>
    <row r="40" spans="3:17" ht="12.75" customHeight="1">
      <c r="C40" s="320"/>
      <c r="D40" s="72"/>
      <c r="E40" s="72"/>
      <c r="F40" s="72"/>
      <c r="G40" s="72"/>
      <c r="H40" s="72"/>
      <c r="I40" s="72"/>
      <c r="J40" s="72"/>
      <c r="K40" s="72"/>
      <c r="L40" s="72"/>
      <c r="M40" s="72"/>
      <c r="N40" s="72"/>
      <c r="O40" s="72"/>
      <c r="P40" s="129"/>
      <c r="Q40" s="72"/>
    </row>
    <row r="41" spans="3:17" ht="15">
      <c r="C41" s="321" t="s">
        <v>183</v>
      </c>
      <c r="D41" s="72"/>
      <c r="E41" s="72"/>
      <c r="F41" s="71"/>
      <c r="G41" s="71"/>
      <c r="H41" s="72"/>
      <c r="I41" s="72"/>
      <c r="J41" s="72"/>
      <c r="K41" s="72"/>
      <c r="L41" s="72"/>
      <c r="M41" s="72"/>
      <c r="N41" s="72"/>
      <c r="O41" s="72"/>
      <c r="P41" s="129"/>
      <c r="Q41" s="72"/>
    </row>
    <row r="42" spans="2:17" ht="12.75">
      <c r="B42" s="102"/>
      <c r="C42" s="357"/>
      <c r="D42" s="358"/>
      <c r="E42" s="358"/>
      <c r="F42" s="358"/>
      <c r="G42" s="358"/>
      <c r="H42" s="358"/>
      <c r="I42" s="358"/>
      <c r="J42" s="358"/>
      <c r="K42" s="358"/>
      <c r="L42" s="358"/>
      <c r="M42" s="358"/>
      <c r="N42" s="358"/>
      <c r="O42" s="358"/>
      <c r="P42" s="356"/>
      <c r="Q42" s="358"/>
    </row>
    <row r="43" spans="2:17" ht="12.75" customHeight="1">
      <c r="B43" s="102"/>
      <c r="C43" s="322" t="str">
        <f>"   Annual Revenue Requirement  (True-Up TCOS, ln "&amp;'True-UP TCOS'!B11&amp;")"</f>
        <v>   Annual Revenue Requirement  (True-Up TCOS, ln 1)</v>
      </c>
      <c r="D43" s="358"/>
      <c r="E43" s="358"/>
      <c r="F43" s="356">
        <f>+'True-UP TCOS'!L11</f>
        <v>204019.40965192253</v>
      </c>
      <c r="G43" s="356"/>
      <c r="H43" s="412" t="s">
        <v>555</v>
      </c>
      <c r="I43" s="358"/>
      <c r="J43" s="358"/>
      <c r="K43" s="358"/>
      <c r="L43" s="358"/>
      <c r="M43" s="358"/>
      <c r="N43" s="358"/>
      <c r="O43" s="358"/>
      <c r="P43" s="356"/>
      <c r="Q43" s="358"/>
    </row>
    <row r="44" spans="2:17" ht="12.75" customHeight="1">
      <c r="B44" s="102"/>
      <c r="C44" s="322" t="str">
        <f>"   T.E.A. &amp; Lease Payments (True-Up TCOS, Lns "&amp;'True-UP TCOS'!B168&amp;" &amp; "&amp;'True-UP TCOS'!B169&amp;")"</f>
        <v>   T.E.A. &amp; Lease Payments (True-Up TCOS, Lns 102 &amp; 103)</v>
      </c>
      <c r="D44" s="358"/>
      <c r="E44" s="358"/>
      <c r="F44" s="356">
        <f>+'True-UP TCOS'!L168+'True-UP TCOS'!L169</f>
        <v>0</v>
      </c>
      <c r="G44" s="356"/>
      <c r="H44" s="412"/>
      <c r="I44" s="358"/>
      <c r="J44" s="358"/>
      <c r="K44" s="358"/>
      <c r="L44" s="358"/>
      <c r="M44" s="358"/>
      <c r="N44" s="358"/>
      <c r="O44" s="358"/>
      <c r="P44" s="356"/>
      <c r="Q44" s="358"/>
    </row>
    <row r="45" spans="2:17" ht="12.75">
      <c r="B45" s="102"/>
      <c r="C45" s="322" t="str">
        <f>"   Return  (True-Up TCOS, ln "&amp;'True-UP TCOS'!B203&amp;")"</f>
        <v>   Return  (True-Up TCOS, ln 132)</v>
      </c>
      <c r="D45" s="358"/>
      <c r="E45" s="358"/>
      <c r="F45" s="359">
        <f>+'True-UP TCOS'!L203</f>
        <v>129.09827833292476</v>
      </c>
      <c r="G45" s="359"/>
      <c r="H45" s="360"/>
      <c r="I45" s="360"/>
      <c r="J45" s="360"/>
      <c r="K45" s="360"/>
      <c r="L45" s="360"/>
      <c r="M45" s="360"/>
      <c r="N45" s="360"/>
      <c r="O45" s="360"/>
      <c r="P45" s="356"/>
      <c r="Q45" s="360"/>
    </row>
    <row r="46" spans="2:17" ht="12.75">
      <c r="B46" s="102"/>
      <c r="C46" s="322" t="str">
        <f>"   Income Taxes  (True-Up TCOS, ln "&amp;'True-UP TCOS'!B201&amp;")"</f>
        <v>   Income Taxes  (True-Up TCOS, ln 131)</v>
      </c>
      <c r="D46" s="358"/>
      <c r="E46" s="358"/>
      <c r="F46" s="361">
        <f>+'True-UP TCOS'!L201</f>
        <v>54.327772367586206</v>
      </c>
      <c r="G46" s="361"/>
      <c r="H46" s="358"/>
      <c r="I46" s="358"/>
      <c r="J46" s="362"/>
      <c r="K46" s="362"/>
      <c r="L46" s="362"/>
      <c r="M46" s="362"/>
      <c r="N46" s="362"/>
      <c r="O46" s="362"/>
      <c r="P46" s="358"/>
      <c r="Q46" s="362"/>
    </row>
    <row r="47" spans="2:17" ht="12.75">
      <c r="B47" s="102"/>
      <c r="C47" s="1238" t="s">
        <v>182</v>
      </c>
      <c r="D47" s="1164"/>
      <c r="E47" s="358"/>
      <c r="F47" s="359">
        <f>F43-F45-F46-F44</f>
        <v>203835.983601222</v>
      </c>
      <c r="G47" s="359"/>
      <c r="H47" s="363"/>
      <c r="I47" s="358"/>
      <c r="J47" s="363"/>
      <c r="K47" s="363"/>
      <c r="L47" s="363"/>
      <c r="M47" s="363"/>
      <c r="N47" s="363"/>
      <c r="O47" s="363"/>
      <c r="P47" s="363"/>
      <c r="Q47" s="363"/>
    </row>
    <row r="48" spans="2:17" ht="12.75">
      <c r="B48" s="102"/>
      <c r="C48" s="1164"/>
      <c r="D48" s="1164"/>
      <c r="E48" s="358"/>
      <c r="F48" s="356"/>
      <c r="G48" s="356"/>
      <c r="H48" s="364"/>
      <c r="I48" s="365"/>
      <c r="J48" s="365"/>
      <c r="K48" s="365"/>
      <c r="L48" s="365"/>
      <c r="M48" s="365"/>
      <c r="N48" s="365"/>
      <c r="O48" s="365"/>
      <c r="P48" s="365"/>
      <c r="Q48" s="365"/>
    </row>
    <row r="49" spans="2:17" ht="15">
      <c r="B49" s="102"/>
      <c r="C49" s="321" t="str">
        <f>"B.   Determine Annual Revenue Requirement with hypothetical "&amp;F15&amp;" basis point increase in ROE."</f>
        <v>B.   Determine Annual Revenue Requirement with hypothetical 0 basis point increase in ROE.</v>
      </c>
      <c r="D49" s="366"/>
      <c r="E49" s="366"/>
      <c r="F49" s="356"/>
      <c r="G49" s="356"/>
      <c r="H49" s="364"/>
      <c r="I49" s="365"/>
      <c r="J49" s="365"/>
      <c r="K49" s="365"/>
      <c r="L49" s="365"/>
      <c r="M49" s="365"/>
      <c r="N49" s="365"/>
      <c r="O49" s="365"/>
      <c r="P49" s="365"/>
      <c r="Q49" s="365"/>
    </row>
    <row r="50" spans="2:17" ht="12.75">
      <c r="B50" s="102"/>
      <c r="C50" s="357"/>
      <c r="D50" s="366"/>
      <c r="E50" s="366"/>
      <c r="F50" s="356"/>
      <c r="G50" s="356"/>
      <c r="H50" s="364"/>
      <c r="I50" s="365"/>
      <c r="J50" s="365"/>
      <c r="K50" s="365"/>
      <c r="L50" s="365"/>
      <c r="M50" s="365"/>
      <c r="N50" s="365"/>
      <c r="O50" s="365"/>
      <c r="P50" s="365"/>
      <c r="Q50" s="365"/>
    </row>
    <row r="51" spans="2:17" ht="12.75">
      <c r="B51" s="102"/>
      <c r="C51" s="357" t="str">
        <f>C47</f>
        <v>   Annual Revenue Requirement, Less TEA Charges, Return and Taxes</v>
      </c>
      <c r="D51" s="366"/>
      <c r="E51" s="366"/>
      <c r="F51" s="356">
        <f>F47</f>
        <v>203835.983601222</v>
      </c>
      <c r="G51" s="356"/>
      <c r="H51" s="358"/>
      <c r="I51" s="358"/>
      <c r="J51" s="358"/>
      <c r="K51" s="358"/>
      <c r="L51" s="358"/>
      <c r="M51" s="358"/>
      <c r="N51" s="358"/>
      <c r="O51" s="358"/>
      <c r="P51" s="367"/>
      <c r="Q51" s="358"/>
    </row>
    <row r="52" spans="2:17" ht="12.75">
      <c r="B52" s="102"/>
      <c r="C52" s="325" t="s">
        <v>922</v>
      </c>
      <c r="D52" s="368"/>
      <c r="E52" s="104"/>
      <c r="F52" s="369">
        <f>E28</f>
        <v>129.09827833292476</v>
      </c>
      <c r="G52" s="369"/>
      <c r="H52" s="104"/>
      <c r="I52" s="370"/>
      <c r="J52" s="104"/>
      <c r="K52" s="104"/>
      <c r="L52" s="104"/>
      <c r="M52" s="104"/>
      <c r="N52" s="104"/>
      <c r="O52" s="104"/>
      <c r="P52" s="104"/>
      <c r="Q52" s="104"/>
    </row>
    <row r="53" spans="2:17" ht="12.75" customHeight="1">
      <c r="B53" s="102"/>
      <c r="C53" s="322" t="s">
        <v>888</v>
      </c>
      <c r="D53" s="358"/>
      <c r="E53" s="358"/>
      <c r="F53" s="361">
        <f>E36</f>
        <v>54.327772367586206</v>
      </c>
      <c r="G53" s="361"/>
      <c r="H53" s="102"/>
      <c r="I53" s="354"/>
      <c r="J53" s="102"/>
      <c r="K53" s="343"/>
      <c r="Q53" s="343"/>
    </row>
    <row r="54" spans="2:17" ht="12.75">
      <c r="B54" s="102"/>
      <c r="C54" s="104" t="str">
        <f>"   Annual Revenue Requirement, with "&amp;F15&amp;" Basis Point ROE increase"</f>
        <v>   Annual Revenue Requirement, with 0 Basis Point ROE increase</v>
      </c>
      <c r="D54" s="353"/>
      <c r="E54" s="102"/>
      <c r="F54" s="355">
        <f>SUM(F51:F53)</f>
        <v>204019.40965192253</v>
      </c>
      <c r="G54" s="355"/>
      <c r="H54" s="102"/>
      <c r="I54" s="354"/>
      <c r="J54" s="102"/>
      <c r="K54" s="343"/>
      <c r="Q54" s="343"/>
    </row>
    <row r="55" spans="2:17" ht="12.75">
      <c r="B55" s="102"/>
      <c r="C55" s="322" t="str">
        <f>"   Depreciation  (True-Up TCOS, ln "&amp;'True-UP TCOS'!B175&amp;")"</f>
        <v>   Depreciation  (True-Up TCOS, ln 108)</v>
      </c>
      <c r="D55" s="353"/>
      <c r="E55" s="102"/>
      <c r="F55" s="371">
        <f>+'True-UP TCOS'!L175</f>
        <v>0</v>
      </c>
      <c r="G55" s="371"/>
      <c r="H55" s="355"/>
      <c r="I55" s="354"/>
      <c r="J55" s="102"/>
      <c r="K55" s="343"/>
      <c r="Q55" s="343"/>
    </row>
    <row r="56" spans="2:17" ht="12.75">
      <c r="B56" s="102"/>
      <c r="C56" s="1238" t="str">
        <f>"   Annual Rev. Req, w/ "&amp;F15&amp;" Basis Point ROE increase, less Depreciation"</f>
        <v>   Annual Rev. Req, w/ 0 Basis Point ROE increase, less Depreciation</v>
      </c>
      <c r="D56" s="1164"/>
      <c r="E56" s="102"/>
      <c r="F56" s="355">
        <f>F54-F55</f>
        <v>204019.40965192253</v>
      </c>
      <c r="G56" s="355"/>
      <c r="H56" s="102"/>
      <c r="I56" s="354"/>
      <c r="J56" s="102"/>
      <c r="K56" s="343"/>
      <c r="Q56" s="343"/>
    </row>
    <row r="57" spans="2:17" ht="12.75">
      <c r="B57" s="102"/>
      <c r="C57" s="1164"/>
      <c r="D57" s="1164"/>
      <c r="E57" s="102"/>
      <c r="F57" s="102"/>
      <c r="G57" s="102"/>
      <c r="H57" s="102"/>
      <c r="I57" s="354"/>
      <c r="J57" s="102"/>
      <c r="K57" s="343"/>
      <c r="Q57" s="343"/>
    </row>
    <row r="58" spans="2:17" ht="15">
      <c r="B58" s="102"/>
      <c r="C58" s="321" t="str">
        <f>"C.   Determine FCR with hypothetical "&amp;F15&amp;" basis point ROE increase."</f>
        <v>C.   Determine FCR with hypothetical 0 basis point ROE increase.</v>
      </c>
      <c r="D58" s="353"/>
      <c r="E58" s="102"/>
      <c r="F58" s="102"/>
      <c r="G58" s="102"/>
      <c r="H58" s="102"/>
      <c r="I58" s="354"/>
      <c r="J58" s="102"/>
      <c r="K58" s="343"/>
      <c r="Q58" s="343"/>
    </row>
    <row r="59" spans="2:17" ht="12.75">
      <c r="B59" s="102"/>
      <c r="C59" s="102"/>
      <c r="D59" s="353"/>
      <c r="E59" s="102"/>
      <c r="F59" s="102"/>
      <c r="G59" s="102"/>
      <c r="H59" s="102"/>
      <c r="I59" s="354"/>
      <c r="J59" s="102"/>
      <c r="K59" s="343"/>
      <c r="Q59" s="343"/>
    </row>
    <row r="60" spans="2:17" ht="12.75">
      <c r="B60" s="102"/>
      <c r="C60" s="322" t="str">
        <f>"   Net Transmission Plant  (True-Up TCOS, ln "&amp;'True-UP TCOS'!B91&amp;")"</f>
        <v>   Net Transmission Plant  (True-Up TCOS, ln 48)</v>
      </c>
      <c r="D60" s="353"/>
      <c r="E60" s="102"/>
      <c r="F60" s="355">
        <f>+'True-UP TCOS'!L91</f>
        <v>0</v>
      </c>
      <c r="G60" s="355"/>
      <c r="H60" s="355"/>
      <c r="I60" s="637"/>
      <c r="J60" s="102"/>
      <c r="K60" s="343"/>
      <c r="Q60" s="343"/>
    </row>
    <row r="61" spans="2:17" ht="12.75">
      <c r="B61" s="102"/>
      <c r="C61" s="104" t="str">
        <f>"   Annual Revenue Requirement, with "&amp;F15&amp;" Basis Point ROE increase"</f>
        <v>   Annual Revenue Requirement, with 0 Basis Point ROE increase</v>
      </c>
      <c r="D61" s="353"/>
      <c r="E61" s="102"/>
      <c r="F61" s="355">
        <f>F54</f>
        <v>204019.40965192253</v>
      </c>
      <c r="G61" s="355"/>
      <c r="H61" s="102"/>
      <c r="I61" s="354"/>
      <c r="J61" s="102"/>
      <c r="K61" s="343"/>
      <c r="Q61" s="343"/>
    </row>
    <row r="62" spans="2:17" ht="12.75">
      <c r="B62" s="102"/>
      <c r="C62" s="104" t="str">
        <f>"   FCR with "&amp;F15&amp;" Basis Point increase in ROE"</f>
        <v>   FCR with 0 Basis Point increase in ROE</v>
      </c>
      <c r="D62" s="353"/>
      <c r="E62" s="102"/>
      <c r="F62" s="372">
        <f>IF(F60=0,0,F61/F60)</f>
        <v>0</v>
      </c>
      <c r="G62" s="372"/>
      <c r="H62" s="372"/>
      <c r="I62" s="354"/>
      <c r="J62" s="102"/>
      <c r="K62" s="343"/>
      <c r="Q62" s="343"/>
    </row>
    <row r="63" spans="2:17" ht="12.75">
      <c r="B63" s="102"/>
      <c r="C63" s="707"/>
      <c r="D63" s="353"/>
      <c r="E63" s="102"/>
      <c r="F63" s="101"/>
      <c r="G63" s="101"/>
      <c r="H63" s="102"/>
      <c r="I63" s="354"/>
      <c r="J63" s="102"/>
      <c r="K63" s="343"/>
      <c r="Q63" s="343"/>
    </row>
    <row r="64" spans="2:17" ht="12.75">
      <c r="B64" s="102"/>
      <c r="C64" s="104" t="str">
        <f>"   Annual Rev. Req, w / "&amp;F15&amp;" Basis Point ROE increase, less Dep."</f>
        <v>   Annual Rev. Req, w / 0 Basis Point ROE increase, less Dep.</v>
      </c>
      <c r="D64" s="353"/>
      <c r="E64" s="102"/>
      <c r="F64" s="355">
        <f>F56</f>
        <v>204019.40965192253</v>
      </c>
      <c r="G64" s="355"/>
      <c r="H64" s="102"/>
      <c r="I64" s="354"/>
      <c r="J64" s="102"/>
      <c r="K64" s="343"/>
      <c r="Q64" s="343"/>
    </row>
    <row r="65" spans="2:17" ht="12.75">
      <c r="B65" s="102"/>
      <c r="C65" s="104" t="str">
        <f>"   FCR with "&amp;F15&amp;" Basis Point ROE increase, less Depreciation"</f>
        <v>   FCR with 0 Basis Point ROE increase, less Depreciation</v>
      </c>
      <c r="D65" s="353"/>
      <c r="E65" s="102"/>
      <c r="F65" s="372">
        <f>IF(F60=0,0,F64/F60)</f>
        <v>0</v>
      </c>
      <c r="G65" s="372"/>
      <c r="H65" s="102"/>
      <c r="I65" s="354"/>
      <c r="J65" s="102"/>
      <c r="K65" s="343"/>
      <c r="Q65" s="343"/>
    </row>
    <row r="66" spans="2:17" ht="12.75">
      <c r="B66" s="102"/>
      <c r="C66" s="322" t="str">
        <f>"   FCR less Depreciation  (True-Up TCOS, ln "&amp;'True-UP TCOS'!B27&amp;")"</f>
        <v>   FCR less Depreciation  (True-Up TCOS, ln 9)</v>
      </c>
      <c r="D66" s="353"/>
      <c r="E66" s="102"/>
      <c r="F66" s="373">
        <f>+'True-UP TCOS'!L27</f>
        <v>0</v>
      </c>
      <c r="G66" s="373"/>
      <c r="H66" s="102"/>
      <c r="I66" s="354"/>
      <c r="J66" s="102"/>
      <c r="K66" s="343"/>
      <c r="Q66" s="343"/>
    </row>
    <row r="67" spans="2:17" ht="12.75">
      <c r="B67" s="102"/>
      <c r="C67" s="1238" t="str">
        <f>"   Incremental FCR with "&amp;F15&amp;" Basis Point ROE increase, less Depreciation"</f>
        <v>   Incremental FCR with 0 Basis Point ROE increase, less Depreciation</v>
      </c>
      <c r="D67" s="1164"/>
      <c r="E67" s="102"/>
      <c r="F67" s="372">
        <f>F65-F66</f>
        <v>0</v>
      </c>
      <c r="G67" s="372"/>
      <c r="H67" s="102"/>
      <c r="I67" s="354"/>
      <c r="J67" s="102"/>
      <c r="K67" s="343"/>
      <c r="Q67" s="343"/>
    </row>
    <row r="68" spans="2:17" ht="12.75">
      <c r="B68" s="102"/>
      <c r="C68" s="1164"/>
      <c r="D68" s="1164"/>
      <c r="E68" s="102"/>
      <c r="F68" s="372"/>
      <c r="G68" s="372"/>
      <c r="H68" s="102"/>
      <c r="I68" s="354"/>
      <c r="J68" s="102"/>
      <c r="K68" s="343"/>
      <c r="Q68" s="343"/>
    </row>
    <row r="69" spans="2:17" ht="17.25">
      <c r="B69" s="319" t="s">
        <v>612</v>
      </c>
      <c r="C69" s="320" t="s">
        <v>889</v>
      </c>
      <c r="D69" s="353"/>
      <c r="E69" s="102"/>
      <c r="F69" s="372"/>
      <c r="G69" s="372"/>
      <c r="H69" s="102"/>
      <c r="I69" s="354"/>
      <c r="J69" s="102"/>
      <c r="K69" s="343"/>
      <c r="Q69" s="343"/>
    </row>
    <row r="70" spans="2:17" ht="12.75">
      <c r="B70" s="102"/>
      <c r="C70" s="104"/>
      <c r="D70" s="353"/>
      <c r="E70" s="102"/>
      <c r="F70" s="372"/>
      <c r="G70" s="372"/>
      <c r="H70" s="102"/>
      <c r="I70" s="354"/>
      <c r="J70" s="102"/>
      <c r="K70" s="343"/>
      <c r="Q70" s="343"/>
    </row>
    <row r="71" spans="2:17" ht="12.75">
      <c r="B71" s="102"/>
      <c r="C71" s="104" t="str">
        <f>"Transmission Plant @ Beginning of Historic Period ("&amp;'True-UP TCOS'!N77&amp;") (P.206, ln 58,(b)):"</f>
        <v>Transmission Plant @ Beginning of Historic Period () (P.206, ln 58,(b)):</v>
      </c>
      <c r="D71" s="353"/>
      <c r="H71" s="481">
        <f>+'WS A  - RB Support '!F19</f>
        <v>0</v>
      </c>
      <c r="J71" s="102"/>
      <c r="K71" s="343"/>
      <c r="Q71" s="343"/>
    </row>
    <row r="72" spans="2:17" ht="12.75">
      <c r="B72" s="102"/>
      <c r="C72" s="104" t="str">
        <f>"Transmission Plant @ End of Historic Period ("&amp;'True-UP TCOS'!N77&amp;") (P.207, ln 58,(g)):"</f>
        <v>Transmission Plant @ End of Historic Period () (P.207, ln 58,(g)):</v>
      </c>
      <c r="D72" s="353"/>
      <c r="H72" s="512">
        <f>+'WS A  - RB Support '!E19</f>
        <v>0</v>
      </c>
      <c r="J72" s="102"/>
      <c r="K72" s="343"/>
      <c r="Q72" s="343"/>
    </row>
    <row r="73" spans="2:17" ht="12.75">
      <c r="B73" s="102"/>
      <c r="C73" s="104" t="s">
        <v>212</v>
      </c>
      <c r="D73" s="353"/>
      <c r="H73" s="354">
        <f>+H72+H71</f>
        <v>0</v>
      </c>
      <c r="J73" s="102"/>
      <c r="K73" s="343"/>
      <c r="Q73" s="343"/>
    </row>
    <row r="74" spans="2:17" ht="12.75">
      <c r="B74" s="102"/>
      <c r="C74" s="104" t="str">
        <f>+"Average Transmission Plant Balance for "&amp;'True-UP TCOS'!O1&amp;""</f>
        <v>Average Transmission Plant Balance for </v>
      </c>
      <c r="D74" s="353"/>
      <c r="H74" s="354">
        <f>+H73/2</f>
        <v>0</v>
      </c>
      <c r="J74" s="102"/>
      <c r="K74" s="343"/>
      <c r="Q74" s="343"/>
    </row>
    <row r="75" spans="2:17" ht="12.75">
      <c r="B75" s="102"/>
      <c r="C75" s="104" t="str">
        <f>"Annual Depreciation Rate (True-Up TCOS, ln "&amp;'True-UP TCOS'!B175&amp;")"</f>
        <v>Annual Depreciation Rate (True-Up TCOS, ln 108)</v>
      </c>
      <c r="D75" s="353"/>
      <c r="E75" s="102"/>
      <c r="H75" s="481">
        <f>+'True-UP TCOS'!G175</f>
        <v>0</v>
      </c>
      <c r="I75" s="354"/>
      <c r="J75" s="102"/>
      <c r="K75" s="343"/>
      <c r="Q75" s="343"/>
    </row>
    <row r="76" spans="2:17" ht="12.75">
      <c r="B76" s="102"/>
      <c r="C76" s="104" t="s">
        <v>890</v>
      </c>
      <c r="D76" s="353"/>
      <c r="E76" s="102"/>
      <c r="H76" s="947">
        <f>IF(H74=0,ROUND('WS P Dep. Rates'!D31,4),H75/H74)</f>
        <v>0.017</v>
      </c>
      <c r="I76" s="374"/>
      <c r="J76" s="1237"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KENTUCKY TRANSMISSION COMPANY establishes Transmission plant in service the depreciation expense component of the carrying charge will be calculated as in the Operating Company formula approved in Docket No. ER08-1329.  The calculation for AEP KENTUCKY TRANSMISSION COMPANY is shown on Worksheet P.</v>
      </c>
      <c r="K76" s="1237"/>
      <c r="L76" s="1237"/>
      <c r="M76" s="1237"/>
      <c r="N76" s="1237"/>
      <c r="O76" s="1237"/>
      <c r="P76" s="1237"/>
      <c r="Q76" s="343"/>
    </row>
    <row r="77" spans="2:17" ht="12.75">
      <c r="B77" s="102"/>
      <c r="C77" s="104" t="s">
        <v>891</v>
      </c>
      <c r="D77" s="353"/>
      <c r="E77" s="102"/>
      <c r="H77" s="948">
        <f>IF(H76=0,0,1/H76)</f>
        <v>58.8235294117647</v>
      </c>
      <c r="I77" s="354"/>
      <c r="J77" s="1237"/>
      <c r="K77" s="1237"/>
      <c r="L77" s="1237"/>
      <c r="M77" s="1237"/>
      <c r="N77" s="1237"/>
      <c r="O77" s="1237"/>
      <c r="P77" s="1237"/>
      <c r="Q77" s="343"/>
    </row>
    <row r="78" spans="2:17" ht="12.75">
      <c r="B78" s="102"/>
      <c r="C78" s="104" t="s">
        <v>892</v>
      </c>
      <c r="D78" s="353"/>
      <c r="E78" s="102"/>
      <c r="H78" s="375">
        <f>H77</f>
        <v>58.8235294117647</v>
      </c>
      <c r="I78" s="354"/>
      <c r="J78" s="1237"/>
      <c r="K78" s="1237"/>
      <c r="L78" s="1237"/>
      <c r="M78" s="1237"/>
      <c r="N78" s="1237"/>
      <c r="O78" s="1237"/>
      <c r="P78" s="1237"/>
      <c r="Q78" s="343"/>
    </row>
    <row r="79" spans="2:17" ht="12.75">
      <c r="B79" s="102"/>
      <c r="C79" s="104"/>
      <c r="D79" s="353"/>
      <c r="E79" s="102"/>
      <c r="H79" s="375"/>
      <c r="I79" s="354"/>
      <c r="J79" s="1237"/>
      <c r="K79" s="1237"/>
      <c r="L79" s="1237"/>
      <c r="M79" s="1237"/>
      <c r="N79" s="1237"/>
      <c r="O79" s="1237"/>
      <c r="P79" s="1237"/>
      <c r="Q79" s="343"/>
    </row>
    <row r="80" spans="3:17" ht="12.75">
      <c r="C80" s="413"/>
      <c r="D80" s="398"/>
      <c r="E80" s="398"/>
      <c r="F80" s="398"/>
      <c r="G80" s="398"/>
      <c r="H80" s="377"/>
      <c r="I80" s="377"/>
      <c r="J80" s="409"/>
      <c r="K80" s="409"/>
      <c r="L80" s="409"/>
      <c r="M80" s="409"/>
      <c r="N80" s="409"/>
      <c r="O80" s="409"/>
      <c r="Q80" s="409"/>
    </row>
    <row r="81" spans="1:17" ht="21">
      <c r="A81" s="314" t="str">
        <f>""&amp;A4&amp;" Worksheet K -  ATRR TRUE-UP Calculation for PJM Projects Charged to Benefiting Zones"</f>
        <v>AEP KENTUCKY TRANSMISSION COMPANY Worksheet K -  ATRR TRUE-UP Calculation for PJM Projects Charged to Benefiting Zones</v>
      </c>
      <c r="B81" s="102"/>
      <c r="C81" s="104"/>
      <c r="D81" s="353"/>
      <c r="E81" s="102"/>
      <c r="F81" s="372"/>
      <c r="G81" s="372"/>
      <c r="H81" s="102"/>
      <c r="I81" s="354"/>
      <c r="L81" s="133"/>
      <c r="M81" s="133"/>
      <c r="N81" s="133"/>
      <c r="O81" s="316" t="str">
        <f>"Page "&amp;SUM(Q$6:Q81)&amp;" of "</f>
        <v>Page 2 of </v>
      </c>
      <c r="P81" s="317">
        <f>COUNT(Q$6:Q$59693)</f>
        <v>2</v>
      </c>
      <c r="Q81" s="376">
        <v>1</v>
      </c>
    </row>
    <row r="82" spans="2:17" ht="12.75">
      <c r="B82" s="102"/>
      <c r="C82" s="102"/>
      <c r="D82" s="353"/>
      <c r="E82" s="102"/>
      <c r="F82" s="102"/>
      <c r="G82" s="102"/>
      <c r="H82" s="102"/>
      <c r="I82" s="354"/>
      <c r="J82" s="102"/>
      <c r="K82" s="343"/>
      <c r="Q82" s="343"/>
    </row>
    <row r="83" spans="2:17" ht="16.5">
      <c r="B83" s="319" t="s">
        <v>613</v>
      </c>
      <c r="C83" s="414" t="s">
        <v>913</v>
      </c>
      <c r="D83" s="353"/>
      <c r="E83" s="102"/>
      <c r="F83" s="102"/>
      <c r="G83" s="102"/>
      <c r="H83" s="102"/>
      <c r="I83" s="354"/>
      <c r="J83" s="354"/>
      <c r="K83" s="377"/>
      <c r="L83" s="354"/>
      <c r="M83" s="354"/>
      <c r="N83" s="354"/>
      <c r="O83" s="354"/>
      <c r="Q83" s="377"/>
    </row>
    <row r="84" spans="2:17" ht="17.25">
      <c r="B84" s="319"/>
      <c r="C84" s="320"/>
      <c r="D84" s="353"/>
      <c r="E84" s="102"/>
      <c r="F84" s="102"/>
      <c r="G84" s="102"/>
      <c r="H84" s="102"/>
      <c r="I84" s="354"/>
      <c r="J84" s="354"/>
      <c r="K84" s="377"/>
      <c r="L84" s="354"/>
      <c r="M84" s="354"/>
      <c r="N84" s="354"/>
      <c r="O84" s="354"/>
      <c r="Q84" s="377"/>
    </row>
    <row r="85" spans="2:17" ht="17.25">
      <c r="B85" s="319"/>
      <c r="C85" s="320" t="s">
        <v>914</v>
      </c>
      <c r="D85" s="353"/>
      <c r="E85" s="102"/>
      <c r="F85" s="102"/>
      <c r="G85" s="102"/>
      <c r="H85" s="102"/>
      <c r="I85" s="354"/>
      <c r="J85" s="354"/>
      <c r="K85" s="377"/>
      <c r="L85" s="354"/>
      <c r="M85" s="354"/>
      <c r="N85" s="354"/>
      <c r="O85" s="354"/>
      <c r="Q85" s="377"/>
    </row>
    <row r="86" spans="3:17" ht="15" thickBot="1">
      <c r="C86" s="61"/>
      <c r="D86" s="353"/>
      <c r="E86" s="102"/>
      <c r="F86" s="102"/>
      <c r="G86" s="102"/>
      <c r="H86" s="102"/>
      <c r="I86" s="354"/>
      <c r="J86" s="354"/>
      <c r="K86" s="377"/>
      <c r="L86" s="354"/>
      <c r="M86" s="354"/>
      <c r="N86" s="354"/>
      <c r="O86" s="354"/>
      <c r="Q86" s="377"/>
    </row>
    <row r="87" spans="3:17" ht="15">
      <c r="C87" s="321" t="s">
        <v>915</v>
      </c>
      <c r="D87" s="353"/>
      <c r="E87" s="102"/>
      <c r="F87" s="102"/>
      <c r="G87" s="102"/>
      <c r="H87" s="793"/>
      <c r="I87" s="102" t="s">
        <v>893</v>
      </c>
      <c r="J87" s="102"/>
      <c r="K87" s="343"/>
      <c r="L87" s="682">
        <f>+J93</f>
        <v>2014</v>
      </c>
      <c r="M87" s="327" t="s">
        <v>862</v>
      </c>
      <c r="N87" s="327" t="s">
        <v>863</v>
      </c>
      <c r="O87" s="328" t="s">
        <v>865</v>
      </c>
      <c r="Q87" s="343"/>
    </row>
    <row r="88" spans="3:17" ht="15">
      <c r="C88" s="321"/>
      <c r="D88" s="353"/>
      <c r="E88" s="102"/>
      <c r="F88" s="102"/>
      <c r="H88" s="102"/>
      <c r="I88" s="378"/>
      <c r="J88" s="378"/>
      <c r="K88" s="379"/>
      <c r="L88" s="771" t="s">
        <v>154</v>
      </c>
      <c r="M88" s="772">
        <f>VLOOKUP(J93,C100:P159,10)</f>
        <v>0</v>
      </c>
      <c r="N88" s="772">
        <f>VLOOKUP(J93,C100:P159,12)</f>
        <v>0</v>
      </c>
      <c r="O88" s="773">
        <f>+N88-M88</f>
        <v>0</v>
      </c>
      <c r="Q88" s="379"/>
    </row>
    <row r="89" spans="3:17" ht="12.75">
      <c r="C89" s="1057" t="s">
        <v>916</v>
      </c>
      <c r="D89" s="415"/>
      <c r="E89" s="102"/>
      <c r="F89" s="102"/>
      <c r="G89" s="102"/>
      <c r="H89" s="102"/>
      <c r="I89" s="354"/>
      <c r="J89" s="354"/>
      <c r="K89" s="377"/>
      <c r="L89" s="771" t="s">
        <v>155</v>
      </c>
      <c r="M89" s="774">
        <f>VLOOKUP(J93,C100:P159,6)</f>
        <v>0</v>
      </c>
      <c r="N89" s="774">
        <f>VLOOKUP(J93,C100:P159,7)</f>
        <v>0</v>
      </c>
      <c r="O89" s="775">
        <f>+N89-M89</f>
        <v>0</v>
      </c>
      <c r="Q89" s="377"/>
    </row>
    <row r="90" spans="3:17" ht="13.5" thickBot="1">
      <c r="C90" s="380"/>
      <c r="D90" s="416"/>
      <c r="E90" s="375"/>
      <c r="F90" s="375"/>
      <c r="G90" s="375"/>
      <c r="H90" s="383"/>
      <c r="I90" s="354"/>
      <c r="J90" s="354"/>
      <c r="K90" s="377"/>
      <c r="L90" s="420" t="s">
        <v>156</v>
      </c>
      <c r="M90" s="776">
        <f>+M89-M88</f>
        <v>0</v>
      </c>
      <c r="N90" s="776">
        <f>+N89-N88</f>
        <v>0</v>
      </c>
      <c r="O90" s="683">
        <f>+O89-O88</f>
        <v>0</v>
      </c>
      <c r="Q90" s="377"/>
    </row>
    <row r="91" spans="3:17" ht="13.5" thickBot="1">
      <c r="C91" s="381"/>
      <c r="D91" s="382"/>
      <c r="E91" s="383"/>
      <c r="F91" s="383"/>
      <c r="G91" s="383"/>
      <c r="H91" s="383"/>
      <c r="I91" s="383"/>
      <c r="J91" s="383"/>
      <c r="K91" s="384"/>
      <c r="L91" s="383"/>
      <c r="M91" s="383"/>
      <c r="N91" s="383"/>
      <c r="O91" s="383"/>
      <c r="P91" s="101"/>
      <c r="Q91" s="384"/>
    </row>
    <row r="92" spans="3:17" ht="13.5" thickBot="1">
      <c r="C92" s="417" t="s">
        <v>917</v>
      </c>
      <c r="D92" s="418"/>
      <c r="E92" s="418"/>
      <c r="F92" s="418"/>
      <c r="G92" s="418"/>
      <c r="H92" s="418"/>
      <c r="I92" s="418"/>
      <c r="J92" s="418"/>
      <c r="K92" s="419"/>
      <c r="P92" s="727"/>
      <c r="Q92" s="419"/>
    </row>
    <row r="93" spans="3:17" ht="16.5">
      <c r="C93" s="386" t="s">
        <v>894</v>
      </c>
      <c r="D93" s="795"/>
      <c r="E93" s="104" t="s">
        <v>895</v>
      </c>
      <c r="H93" s="385"/>
      <c r="I93" s="385"/>
      <c r="J93" s="792">
        <f>+'Historic TCOS'!O1</f>
        <v>2014</v>
      </c>
      <c r="K93" s="103"/>
      <c r="L93" s="1229" t="s">
        <v>896</v>
      </c>
      <c r="M93" s="1229"/>
      <c r="N93" s="1229"/>
      <c r="O93" s="1229"/>
      <c r="P93" s="343"/>
      <c r="Q93" s="103"/>
    </row>
    <row r="94" spans="3:17" ht="12.75">
      <c r="C94" s="386" t="s">
        <v>897</v>
      </c>
      <c r="D94" s="796">
        <v>2008</v>
      </c>
      <c r="E94" s="386" t="s">
        <v>898</v>
      </c>
      <c r="F94" s="385"/>
      <c r="G94" s="385"/>
      <c r="I94"/>
      <c r="J94" s="794">
        <f>IF(H87="",0,$F$15)</f>
        <v>0</v>
      </c>
      <c r="K94" s="280"/>
      <c r="L94" s="377" t="s">
        <v>272</v>
      </c>
      <c r="P94" s="343"/>
      <c r="Q94" s="280"/>
    </row>
    <row r="95" spans="3:17" ht="12.75">
      <c r="C95" s="386" t="s">
        <v>899</v>
      </c>
      <c r="D95" s="795"/>
      <c r="E95" s="386" t="s">
        <v>900</v>
      </c>
      <c r="F95" s="385"/>
      <c r="G95" s="385"/>
      <c r="I95"/>
      <c r="J95" s="387">
        <f>$F$66</f>
        <v>0</v>
      </c>
      <c r="K95" s="388"/>
      <c r="L95" s="102" t="str">
        <f>"          INPUT TRUE-UP ARR (WITH &amp; WITHOUT INCENTIVES) FROM EACH PRIOR YEAR"</f>
        <v>          INPUT TRUE-UP ARR (WITH &amp; WITHOUT INCENTIVES) FROM EACH PRIOR YEAR</v>
      </c>
      <c r="P95" s="343"/>
      <c r="Q95" s="388"/>
    </row>
    <row r="96" spans="3:17" ht="12.75">
      <c r="C96" s="386" t="s">
        <v>901</v>
      </c>
      <c r="D96" s="804">
        <f>H$78</f>
        <v>58.8235294117647</v>
      </c>
      <c r="E96" s="386" t="s">
        <v>902</v>
      </c>
      <c r="F96" s="385"/>
      <c r="G96" s="385"/>
      <c r="I96"/>
      <c r="J96" s="387">
        <f>IF(H87="",+J95,$F$65)</f>
        <v>0</v>
      </c>
      <c r="K96" s="389"/>
      <c r="L96" s="102" t="s">
        <v>1011</v>
      </c>
      <c r="M96" s="389"/>
      <c r="N96" s="389"/>
      <c r="O96" s="389"/>
      <c r="P96" s="343"/>
      <c r="Q96" s="389"/>
    </row>
    <row r="97" spans="3:17" ht="13.5" thickBot="1">
      <c r="C97" s="386" t="s">
        <v>903</v>
      </c>
      <c r="D97" s="797" t="s">
        <v>904</v>
      </c>
      <c r="E97" s="420" t="s">
        <v>905</v>
      </c>
      <c r="F97" s="421"/>
      <c r="G97" s="421"/>
      <c r="H97" s="306"/>
      <c r="I97" s="306"/>
      <c r="J97" s="407">
        <f>IF(D93=0,0,D93/D96)</f>
        <v>0</v>
      </c>
      <c r="K97" s="377"/>
      <c r="L97" s="377" t="s">
        <v>1012</v>
      </c>
      <c r="M97" s="377"/>
      <c r="N97" s="377"/>
      <c r="O97" s="377"/>
      <c r="P97" s="343"/>
      <c r="Q97" s="377"/>
    </row>
    <row r="98" spans="1:17" ht="39">
      <c r="A98" s="136"/>
      <c r="B98" s="136"/>
      <c r="C98" s="422" t="s">
        <v>894</v>
      </c>
      <c r="D98" s="423" t="s">
        <v>906</v>
      </c>
      <c r="E98" s="391" t="s">
        <v>907</v>
      </c>
      <c r="F98" s="423" t="s">
        <v>908</v>
      </c>
      <c r="G98" s="423" t="s">
        <v>157</v>
      </c>
      <c r="H98" s="391" t="s">
        <v>1005</v>
      </c>
      <c r="I98" s="424" t="s">
        <v>1005</v>
      </c>
      <c r="J98" s="422" t="s">
        <v>918</v>
      </c>
      <c r="K98" s="425"/>
      <c r="L98" s="391" t="s">
        <v>1007</v>
      </c>
      <c r="M98" s="391" t="s">
        <v>1013</v>
      </c>
      <c r="N98" s="391" t="s">
        <v>1007</v>
      </c>
      <c r="O98" s="391" t="s">
        <v>1015</v>
      </c>
      <c r="P98" s="391" t="s">
        <v>909</v>
      </c>
      <c r="Q98" s="426"/>
    </row>
    <row r="99" spans="3:17" ht="13.5" thickBot="1">
      <c r="C99" s="392" t="s">
        <v>616</v>
      </c>
      <c r="D99" s="427" t="s">
        <v>617</v>
      </c>
      <c r="E99" s="392" t="s">
        <v>506</v>
      </c>
      <c r="F99" s="427" t="s">
        <v>617</v>
      </c>
      <c r="G99" s="427" t="s">
        <v>617</v>
      </c>
      <c r="H99" s="396" t="s">
        <v>921</v>
      </c>
      <c r="I99" s="393" t="s">
        <v>923</v>
      </c>
      <c r="J99" s="394" t="s">
        <v>316</v>
      </c>
      <c r="K99" s="395"/>
      <c r="L99" s="396" t="s">
        <v>910</v>
      </c>
      <c r="M99" s="396" t="s">
        <v>910</v>
      </c>
      <c r="N99" s="396" t="s">
        <v>189</v>
      </c>
      <c r="O99" s="396" t="s">
        <v>189</v>
      </c>
      <c r="P99" s="396" t="s">
        <v>189</v>
      </c>
      <c r="Q99" s="103"/>
    </row>
    <row r="100" spans="3:17" ht="12.75">
      <c r="C100" s="397">
        <f>IF(D94="","-",D94)</f>
        <v>2008</v>
      </c>
      <c r="D100" s="398">
        <f>+D93</f>
        <v>0</v>
      </c>
      <c r="E100" s="401">
        <f>+J97/12*(12-D95)</f>
        <v>0</v>
      </c>
      <c r="F100" s="684">
        <f aca="true" t="shared" si="0" ref="F100:F140">+D100-E100</f>
        <v>0</v>
      </c>
      <c r="G100" s="398">
        <f>+(D100+F100)/2</f>
        <v>0</v>
      </c>
      <c r="H100" s="534">
        <f>+J95*G100+E100</f>
        <v>0</v>
      </c>
      <c r="I100" s="893">
        <f>+J96*G100+E100</f>
        <v>0</v>
      </c>
      <c r="J100" s="402">
        <f>+I100-H100</f>
        <v>0</v>
      </c>
      <c r="K100" s="402"/>
      <c r="L100" s="789"/>
      <c r="M100" s="399">
        <f aca="true" t="shared" si="1" ref="M100:M140">IF(L100&lt;&gt;0,+H100-L100,0)</f>
        <v>0</v>
      </c>
      <c r="N100" s="789"/>
      <c r="O100" s="399">
        <f aca="true" t="shared" si="2" ref="O100:O140">IF(N100&lt;&gt;0,+I100-N100,0)</f>
        <v>0</v>
      </c>
      <c r="P100" s="399">
        <f aca="true" t="shared" si="3" ref="P100:P140">+O100-M100</f>
        <v>0</v>
      </c>
      <c r="Q100" s="409"/>
    </row>
    <row r="101" spans="3:17" ht="12.75">
      <c r="C101" s="397">
        <f>IF(D94="","-",+C100+1)</f>
        <v>2009</v>
      </c>
      <c r="D101" s="398">
        <f aca="true" t="shared" si="4" ref="D101:D141">F100</f>
        <v>0</v>
      </c>
      <c r="E101" s="400">
        <f>IF(D101&gt;$J$97,$J$97,D101)</f>
        <v>0</v>
      </c>
      <c r="F101" s="400">
        <f t="shared" si="0"/>
        <v>0</v>
      </c>
      <c r="G101" s="398">
        <f aca="true" t="shared" si="5" ref="G101:G159">+(D101+F101)/2</f>
        <v>0</v>
      </c>
      <c r="H101" s="401">
        <f>+J95*G101+E101</f>
        <v>0</v>
      </c>
      <c r="I101" s="390">
        <f>+J96*G101+E101</f>
        <v>0</v>
      </c>
      <c r="J101" s="402">
        <f>+I101-H101</f>
        <v>0</v>
      </c>
      <c r="K101" s="402"/>
      <c r="L101" s="790"/>
      <c r="M101" s="402">
        <f t="shared" si="1"/>
        <v>0</v>
      </c>
      <c r="N101" s="790"/>
      <c r="O101" s="402">
        <f t="shared" si="2"/>
        <v>0</v>
      </c>
      <c r="P101" s="402">
        <f t="shared" si="3"/>
        <v>0</v>
      </c>
      <c r="Q101" s="409"/>
    </row>
    <row r="102" spans="3:17" ht="12.75">
      <c r="C102" s="397">
        <f>IF(D94="","-",+C101+1)</f>
        <v>2010</v>
      </c>
      <c r="D102" s="398">
        <f t="shared" si="4"/>
        <v>0</v>
      </c>
      <c r="E102" s="400">
        <f aca="true" t="shared" si="6" ref="E102:E159">IF(D102&gt;$J$97,$J$97,D102)</f>
        <v>0</v>
      </c>
      <c r="F102" s="400">
        <f t="shared" si="0"/>
        <v>0</v>
      </c>
      <c r="G102" s="398">
        <f t="shared" si="5"/>
        <v>0</v>
      </c>
      <c r="H102" s="401">
        <f>+J95*G102+E102</f>
        <v>0</v>
      </c>
      <c r="I102" s="390">
        <f>+J96*G102+E102</f>
        <v>0</v>
      </c>
      <c r="J102" s="402">
        <f aca="true" t="shared" si="7" ref="J102:J159">+I102-H102</f>
        <v>0</v>
      </c>
      <c r="K102" s="402"/>
      <c r="L102" s="790"/>
      <c r="M102" s="402">
        <f t="shared" si="1"/>
        <v>0</v>
      </c>
      <c r="N102" s="790"/>
      <c r="O102" s="402">
        <f t="shared" si="2"/>
        <v>0</v>
      </c>
      <c r="P102" s="402">
        <f t="shared" si="3"/>
        <v>0</v>
      </c>
      <c r="Q102" s="409"/>
    </row>
    <row r="103" spans="3:17" ht="12.75">
      <c r="C103" s="397">
        <f>IF(D94="","-",+C102+1)</f>
        <v>2011</v>
      </c>
      <c r="D103" s="398">
        <f t="shared" si="4"/>
        <v>0</v>
      </c>
      <c r="E103" s="400">
        <f t="shared" si="6"/>
        <v>0</v>
      </c>
      <c r="F103" s="400">
        <f t="shared" si="0"/>
        <v>0</v>
      </c>
      <c r="G103" s="398">
        <f t="shared" si="5"/>
        <v>0</v>
      </c>
      <c r="H103" s="401">
        <f>+J95*G103+E103</f>
        <v>0</v>
      </c>
      <c r="I103" s="390">
        <f>+J96*G103+E103</f>
        <v>0</v>
      </c>
      <c r="J103" s="402">
        <f t="shared" si="7"/>
        <v>0</v>
      </c>
      <c r="K103" s="402"/>
      <c r="L103" s="790"/>
      <c r="M103" s="402">
        <f t="shared" si="1"/>
        <v>0</v>
      </c>
      <c r="N103" s="790"/>
      <c r="O103" s="402">
        <f t="shared" si="2"/>
        <v>0</v>
      </c>
      <c r="P103" s="402">
        <f t="shared" si="3"/>
        <v>0</v>
      </c>
      <c r="Q103" s="409"/>
    </row>
    <row r="104" spans="3:17" ht="12.75">
      <c r="C104" s="397">
        <f>IF(D94="","-",+C103+1)</f>
        <v>2012</v>
      </c>
      <c r="D104" s="398">
        <f t="shared" si="4"/>
        <v>0</v>
      </c>
      <c r="E104" s="400">
        <f t="shared" si="6"/>
        <v>0</v>
      </c>
      <c r="F104" s="400">
        <f t="shared" si="0"/>
        <v>0</v>
      </c>
      <c r="G104" s="398">
        <f t="shared" si="5"/>
        <v>0</v>
      </c>
      <c r="H104" s="401">
        <f>+J95*G104+E104</f>
        <v>0</v>
      </c>
      <c r="I104" s="390">
        <f>+J96*G104+E104</f>
        <v>0</v>
      </c>
      <c r="J104" s="402">
        <f t="shared" si="7"/>
        <v>0</v>
      </c>
      <c r="K104" s="402"/>
      <c r="L104" s="790"/>
      <c r="M104" s="402">
        <f t="shared" si="1"/>
        <v>0</v>
      </c>
      <c r="N104" s="790"/>
      <c r="O104" s="402">
        <f t="shared" si="2"/>
        <v>0</v>
      </c>
      <c r="P104" s="402">
        <f t="shared" si="3"/>
        <v>0</v>
      </c>
      <c r="Q104" s="409"/>
    </row>
    <row r="105" spans="3:17" ht="12.75">
      <c r="C105" s="397">
        <f>IF(D94="","-",+C104+1)</f>
        <v>2013</v>
      </c>
      <c r="D105" s="398">
        <f t="shared" si="4"/>
        <v>0</v>
      </c>
      <c r="E105" s="400">
        <f t="shared" si="6"/>
        <v>0</v>
      </c>
      <c r="F105" s="400">
        <f t="shared" si="0"/>
        <v>0</v>
      </c>
      <c r="G105" s="398">
        <f t="shared" si="5"/>
        <v>0</v>
      </c>
      <c r="H105" s="401">
        <f>+J95*G105+E105</f>
        <v>0</v>
      </c>
      <c r="I105" s="390">
        <f>+J96*G105+E105</f>
        <v>0</v>
      </c>
      <c r="J105" s="402">
        <f t="shared" si="7"/>
        <v>0</v>
      </c>
      <c r="K105" s="402"/>
      <c r="L105" s="790"/>
      <c r="M105" s="402">
        <f t="shared" si="1"/>
        <v>0</v>
      </c>
      <c r="N105" s="790"/>
      <c r="O105" s="402">
        <f t="shared" si="2"/>
        <v>0</v>
      </c>
      <c r="P105" s="402">
        <f t="shared" si="3"/>
        <v>0</v>
      </c>
      <c r="Q105" s="409"/>
    </row>
    <row r="106" spans="3:17" ht="12.75">
      <c r="C106" s="397">
        <f>IF(D94="","-",+C105+1)</f>
        <v>2014</v>
      </c>
      <c r="D106" s="398">
        <f t="shared" si="4"/>
        <v>0</v>
      </c>
      <c r="E106" s="400">
        <f t="shared" si="6"/>
        <v>0</v>
      </c>
      <c r="F106" s="400">
        <f t="shared" si="0"/>
        <v>0</v>
      </c>
      <c r="G106" s="398">
        <f t="shared" si="5"/>
        <v>0</v>
      </c>
      <c r="H106" s="401">
        <f>+J95*G106+E106</f>
        <v>0</v>
      </c>
      <c r="I106" s="390">
        <f>+J96*G106+E106</f>
        <v>0</v>
      </c>
      <c r="J106" s="402">
        <f t="shared" si="7"/>
        <v>0</v>
      </c>
      <c r="K106" s="402"/>
      <c r="L106" s="790"/>
      <c r="M106" s="402">
        <f t="shared" si="1"/>
        <v>0</v>
      </c>
      <c r="N106" s="790"/>
      <c r="O106" s="402">
        <f t="shared" si="2"/>
        <v>0</v>
      </c>
      <c r="P106" s="402">
        <f t="shared" si="3"/>
        <v>0</v>
      </c>
      <c r="Q106" s="409"/>
    </row>
    <row r="107" spans="3:17" ht="12.75">
      <c r="C107" s="397">
        <f>IF(D94="","-",+C106+1)</f>
        <v>2015</v>
      </c>
      <c r="D107" s="398">
        <f t="shared" si="4"/>
        <v>0</v>
      </c>
      <c r="E107" s="400">
        <f t="shared" si="6"/>
        <v>0</v>
      </c>
      <c r="F107" s="400">
        <f t="shared" si="0"/>
        <v>0</v>
      </c>
      <c r="G107" s="398">
        <f t="shared" si="5"/>
        <v>0</v>
      </c>
      <c r="H107" s="401">
        <f>+J95*G107+E107</f>
        <v>0</v>
      </c>
      <c r="I107" s="390">
        <f>+J96*G107+E107</f>
        <v>0</v>
      </c>
      <c r="J107" s="402">
        <f t="shared" si="7"/>
        <v>0</v>
      </c>
      <c r="K107" s="402"/>
      <c r="L107" s="790"/>
      <c r="M107" s="402">
        <f t="shared" si="1"/>
        <v>0</v>
      </c>
      <c r="N107" s="790"/>
      <c r="O107" s="402">
        <f t="shared" si="2"/>
        <v>0</v>
      </c>
      <c r="P107" s="402">
        <f t="shared" si="3"/>
        <v>0</v>
      </c>
      <c r="Q107" s="409"/>
    </row>
    <row r="108" spans="3:17" ht="12.75">
      <c r="C108" s="397">
        <f>IF(D94="","-",+C107+1)</f>
        <v>2016</v>
      </c>
      <c r="D108" s="398">
        <f t="shared" si="4"/>
        <v>0</v>
      </c>
      <c r="E108" s="400">
        <f t="shared" si="6"/>
        <v>0</v>
      </c>
      <c r="F108" s="400">
        <f t="shared" si="0"/>
        <v>0</v>
      </c>
      <c r="G108" s="398">
        <f t="shared" si="5"/>
        <v>0</v>
      </c>
      <c r="H108" s="401">
        <f>+J95*G108+E108</f>
        <v>0</v>
      </c>
      <c r="I108" s="390">
        <f>+J96*G108+E108</f>
        <v>0</v>
      </c>
      <c r="J108" s="402">
        <f t="shared" si="7"/>
        <v>0</v>
      </c>
      <c r="K108" s="402"/>
      <c r="L108" s="790"/>
      <c r="M108" s="402">
        <f t="shared" si="1"/>
        <v>0</v>
      </c>
      <c r="N108" s="790"/>
      <c r="O108" s="402">
        <f t="shared" si="2"/>
        <v>0</v>
      </c>
      <c r="P108" s="402">
        <f t="shared" si="3"/>
        <v>0</v>
      </c>
      <c r="Q108" s="409"/>
    </row>
    <row r="109" spans="3:17" ht="12.75">
      <c r="C109" s="397">
        <f>IF(D94="","-",+C108+1)</f>
        <v>2017</v>
      </c>
      <c r="D109" s="398">
        <f t="shared" si="4"/>
        <v>0</v>
      </c>
      <c r="E109" s="400">
        <f t="shared" si="6"/>
        <v>0</v>
      </c>
      <c r="F109" s="400">
        <f t="shared" si="0"/>
        <v>0</v>
      </c>
      <c r="G109" s="398">
        <f t="shared" si="5"/>
        <v>0</v>
      </c>
      <c r="H109" s="401">
        <f>+J95*G109+E109</f>
        <v>0</v>
      </c>
      <c r="I109" s="390">
        <f>+J96*G109+E109</f>
        <v>0</v>
      </c>
      <c r="J109" s="402">
        <f t="shared" si="7"/>
        <v>0</v>
      </c>
      <c r="K109" s="402"/>
      <c r="L109" s="790"/>
      <c r="M109" s="402">
        <f t="shared" si="1"/>
        <v>0</v>
      </c>
      <c r="N109" s="790"/>
      <c r="O109" s="402">
        <f t="shared" si="2"/>
        <v>0</v>
      </c>
      <c r="P109" s="402">
        <f t="shared" si="3"/>
        <v>0</v>
      </c>
      <c r="Q109" s="409"/>
    </row>
    <row r="110" spans="3:17" ht="12.75">
      <c r="C110" s="397">
        <f>IF(D94="","-",+C109+1)</f>
        <v>2018</v>
      </c>
      <c r="D110" s="398">
        <f t="shared" si="4"/>
        <v>0</v>
      </c>
      <c r="E110" s="400">
        <f t="shared" si="6"/>
        <v>0</v>
      </c>
      <c r="F110" s="400">
        <f t="shared" si="0"/>
        <v>0</v>
      </c>
      <c r="G110" s="398">
        <f t="shared" si="5"/>
        <v>0</v>
      </c>
      <c r="H110" s="401">
        <f>+J95*G110+E110</f>
        <v>0</v>
      </c>
      <c r="I110" s="390">
        <f>+J96*G110+E110</f>
        <v>0</v>
      </c>
      <c r="J110" s="402">
        <f t="shared" si="7"/>
        <v>0</v>
      </c>
      <c r="K110" s="402"/>
      <c r="L110" s="790"/>
      <c r="M110" s="402">
        <f t="shared" si="1"/>
        <v>0</v>
      </c>
      <c r="N110" s="790"/>
      <c r="O110" s="402">
        <f t="shared" si="2"/>
        <v>0</v>
      </c>
      <c r="P110" s="402">
        <f t="shared" si="3"/>
        <v>0</v>
      </c>
      <c r="Q110" s="409"/>
    </row>
    <row r="111" spans="3:17" ht="12.75">
      <c r="C111" s="397">
        <f>IF(D94="","-",+C110+1)</f>
        <v>2019</v>
      </c>
      <c r="D111" s="398">
        <f t="shared" si="4"/>
        <v>0</v>
      </c>
      <c r="E111" s="400">
        <f t="shared" si="6"/>
        <v>0</v>
      </c>
      <c r="F111" s="400">
        <f t="shared" si="0"/>
        <v>0</v>
      </c>
      <c r="G111" s="398">
        <f t="shared" si="5"/>
        <v>0</v>
      </c>
      <c r="H111" s="401">
        <f>+J95*G111+E111</f>
        <v>0</v>
      </c>
      <c r="I111" s="390">
        <f>+J96*G111+E111</f>
        <v>0</v>
      </c>
      <c r="J111" s="402">
        <f t="shared" si="7"/>
        <v>0</v>
      </c>
      <c r="K111" s="402"/>
      <c r="L111" s="790"/>
      <c r="M111" s="402">
        <f t="shared" si="1"/>
        <v>0</v>
      </c>
      <c r="N111" s="790"/>
      <c r="O111" s="402">
        <f t="shared" si="2"/>
        <v>0</v>
      </c>
      <c r="P111" s="402">
        <f t="shared" si="3"/>
        <v>0</v>
      </c>
      <c r="Q111" s="409"/>
    </row>
    <row r="112" spans="3:17" ht="12.75">
      <c r="C112" s="397">
        <f>IF(D94="","-",+C111+1)</f>
        <v>2020</v>
      </c>
      <c r="D112" s="398">
        <f t="shared" si="4"/>
        <v>0</v>
      </c>
      <c r="E112" s="400">
        <f t="shared" si="6"/>
        <v>0</v>
      </c>
      <c r="F112" s="400">
        <f t="shared" si="0"/>
        <v>0</v>
      </c>
      <c r="G112" s="398">
        <f t="shared" si="5"/>
        <v>0</v>
      </c>
      <c r="H112" s="401">
        <f>+J95*G112+E112</f>
        <v>0</v>
      </c>
      <c r="I112" s="390">
        <f>+J96*G112+E112</f>
        <v>0</v>
      </c>
      <c r="J112" s="402">
        <f t="shared" si="7"/>
        <v>0</v>
      </c>
      <c r="K112" s="402"/>
      <c r="L112" s="790"/>
      <c r="M112" s="402">
        <f t="shared" si="1"/>
        <v>0</v>
      </c>
      <c r="N112" s="790"/>
      <c r="O112" s="402">
        <f t="shared" si="2"/>
        <v>0</v>
      </c>
      <c r="P112" s="402">
        <f t="shared" si="3"/>
        <v>0</v>
      </c>
      <c r="Q112" s="409"/>
    </row>
    <row r="113" spans="3:17" ht="12.75">
      <c r="C113" s="397">
        <f>IF(D94="","-",+C112+1)</f>
        <v>2021</v>
      </c>
      <c r="D113" s="398">
        <f t="shared" si="4"/>
        <v>0</v>
      </c>
      <c r="E113" s="400">
        <f t="shared" si="6"/>
        <v>0</v>
      </c>
      <c r="F113" s="400">
        <f t="shared" si="0"/>
        <v>0</v>
      </c>
      <c r="G113" s="398">
        <f t="shared" si="5"/>
        <v>0</v>
      </c>
      <c r="H113" s="401">
        <f>+J95*G113+E113</f>
        <v>0</v>
      </c>
      <c r="I113" s="390">
        <f>+J96*G113+E113</f>
        <v>0</v>
      </c>
      <c r="J113" s="402">
        <f t="shared" si="7"/>
        <v>0</v>
      </c>
      <c r="K113" s="402"/>
      <c r="L113" s="790"/>
      <c r="M113" s="402">
        <f t="shared" si="1"/>
        <v>0</v>
      </c>
      <c r="N113" s="790"/>
      <c r="O113" s="402">
        <f t="shared" si="2"/>
        <v>0</v>
      </c>
      <c r="P113" s="402">
        <f t="shared" si="3"/>
        <v>0</v>
      </c>
      <c r="Q113" s="409"/>
    </row>
    <row r="114" spans="3:17" ht="12.75">
      <c r="C114" s="397">
        <f>IF(D94="","-",+C113+1)</f>
        <v>2022</v>
      </c>
      <c r="D114" s="398">
        <f t="shared" si="4"/>
        <v>0</v>
      </c>
      <c r="E114" s="400">
        <f t="shared" si="6"/>
        <v>0</v>
      </c>
      <c r="F114" s="400">
        <f t="shared" si="0"/>
        <v>0</v>
      </c>
      <c r="G114" s="398">
        <f t="shared" si="5"/>
        <v>0</v>
      </c>
      <c r="H114" s="401">
        <f>+J95*G114+E114</f>
        <v>0</v>
      </c>
      <c r="I114" s="390">
        <f>+J96*G114+E114</f>
        <v>0</v>
      </c>
      <c r="J114" s="402">
        <f t="shared" si="7"/>
        <v>0</v>
      </c>
      <c r="K114" s="402"/>
      <c r="L114" s="790"/>
      <c r="M114" s="402">
        <f t="shared" si="1"/>
        <v>0</v>
      </c>
      <c r="N114" s="790"/>
      <c r="O114" s="402">
        <f t="shared" si="2"/>
        <v>0</v>
      </c>
      <c r="P114" s="402">
        <f t="shared" si="3"/>
        <v>0</v>
      </c>
      <c r="Q114" s="409"/>
    </row>
    <row r="115" spans="3:17" ht="12.75">
      <c r="C115" s="397">
        <f>IF(D94="","-",+C114+1)</f>
        <v>2023</v>
      </c>
      <c r="D115" s="398">
        <f t="shared" si="4"/>
        <v>0</v>
      </c>
      <c r="E115" s="400">
        <f t="shared" si="6"/>
        <v>0</v>
      </c>
      <c r="F115" s="400">
        <f t="shared" si="0"/>
        <v>0</v>
      </c>
      <c r="G115" s="398">
        <f t="shared" si="5"/>
        <v>0</v>
      </c>
      <c r="H115" s="401">
        <f>+J95*G115+E115</f>
        <v>0</v>
      </c>
      <c r="I115" s="390">
        <f>+J96*G115+E115</f>
        <v>0</v>
      </c>
      <c r="J115" s="402">
        <f t="shared" si="7"/>
        <v>0</v>
      </c>
      <c r="K115" s="402"/>
      <c r="L115" s="790"/>
      <c r="M115" s="402">
        <f t="shared" si="1"/>
        <v>0</v>
      </c>
      <c r="N115" s="790"/>
      <c r="O115" s="402">
        <f t="shared" si="2"/>
        <v>0</v>
      </c>
      <c r="P115" s="402">
        <f t="shared" si="3"/>
        <v>0</v>
      </c>
      <c r="Q115" s="409"/>
    </row>
    <row r="116" spans="3:17" ht="12.75">
      <c r="C116" s="397">
        <f>IF(D94="","-",+C115+1)</f>
        <v>2024</v>
      </c>
      <c r="D116" s="398">
        <f t="shared" si="4"/>
        <v>0</v>
      </c>
      <c r="E116" s="400">
        <f t="shared" si="6"/>
        <v>0</v>
      </c>
      <c r="F116" s="400">
        <f t="shared" si="0"/>
        <v>0</v>
      </c>
      <c r="G116" s="398">
        <f t="shared" si="5"/>
        <v>0</v>
      </c>
      <c r="H116" s="401">
        <f>+J95*G116+E116</f>
        <v>0</v>
      </c>
      <c r="I116" s="390">
        <f>+J96*G116+E116</f>
        <v>0</v>
      </c>
      <c r="J116" s="402">
        <f t="shared" si="7"/>
        <v>0</v>
      </c>
      <c r="K116" s="402"/>
      <c r="L116" s="790"/>
      <c r="M116" s="402">
        <f t="shared" si="1"/>
        <v>0</v>
      </c>
      <c r="N116" s="790"/>
      <c r="O116" s="402">
        <f t="shared" si="2"/>
        <v>0</v>
      </c>
      <c r="P116" s="402">
        <f t="shared" si="3"/>
        <v>0</v>
      </c>
      <c r="Q116" s="409"/>
    </row>
    <row r="117" spans="3:17" ht="12.75">
      <c r="C117" s="397">
        <f>IF(D94="","-",+C116+1)</f>
        <v>2025</v>
      </c>
      <c r="D117" s="398">
        <f t="shared" si="4"/>
        <v>0</v>
      </c>
      <c r="E117" s="400">
        <f t="shared" si="6"/>
        <v>0</v>
      </c>
      <c r="F117" s="400">
        <f t="shared" si="0"/>
        <v>0</v>
      </c>
      <c r="G117" s="398">
        <f t="shared" si="5"/>
        <v>0</v>
      </c>
      <c r="H117" s="401">
        <f>+J95*G117+E117</f>
        <v>0</v>
      </c>
      <c r="I117" s="390">
        <f>+J96*G117+E117</f>
        <v>0</v>
      </c>
      <c r="J117" s="402">
        <f t="shared" si="7"/>
        <v>0</v>
      </c>
      <c r="K117" s="402"/>
      <c r="L117" s="790"/>
      <c r="M117" s="402">
        <f t="shared" si="1"/>
        <v>0</v>
      </c>
      <c r="N117" s="790"/>
      <c r="O117" s="402">
        <f t="shared" si="2"/>
        <v>0</v>
      </c>
      <c r="P117" s="402">
        <f t="shared" si="3"/>
        <v>0</v>
      </c>
      <c r="Q117" s="409"/>
    </row>
    <row r="118" spans="3:17" ht="12.75">
      <c r="C118" s="397">
        <f>IF(D94="","-",+C117+1)</f>
        <v>2026</v>
      </c>
      <c r="D118" s="398">
        <f t="shared" si="4"/>
        <v>0</v>
      </c>
      <c r="E118" s="400">
        <f t="shared" si="6"/>
        <v>0</v>
      </c>
      <c r="F118" s="400">
        <f t="shared" si="0"/>
        <v>0</v>
      </c>
      <c r="G118" s="398">
        <f t="shared" si="5"/>
        <v>0</v>
      </c>
      <c r="H118" s="401">
        <f>+J95*G118+E118</f>
        <v>0</v>
      </c>
      <c r="I118" s="390">
        <f>+J96*G118+E118</f>
        <v>0</v>
      </c>
      <c r="J118" s="402">
        <f t="shared" si="7"/>
        <v>0</v>
      </c>
      <c r="K118" s="402"/>
      <c r="L118" s="790"/>
      <c r="M118" s="402">
        <f t="shared" si="1"/>
        <v>0</v>
      </c>
      <c r="N118" s="790"/>
      <c r="O118" s="402">
        <f t="shared" si="2"/>
        <v>0</v>
      </c>
      <c r="P118" s="402">
        <f t="shared" si="3"/>
        <v>0</v>
      </c>
      <c r="Q118" s="409"/>
    </row>
    <row r="119" spans="3:17" ht="12.75">
      <c r="C119" s="397">
        <f>IF(D94="","-",+C118+1)</f>
        <v>2027</v>
      </c>
      <c r="D119" s="398">
        <f t="shared" si="4"/>
        <v>0</v>
      </c>
      <c r="E119" s="400">
        <f t="shared" si="6"/>
        <v>0</v>
      </c>
      <c r="F119" s="400">
        <f t="shared" si="0"/>
        <v>0</v>
      </c>
      <c r="G119" s="398">
        <f t="shared" si="5"/>
        <v>0</v>
      </c>
      <c r="H119" s="401">
        <f>+J95*G119+E119</f>
        <v>0</v>
      </c>
      <c r="I119" s="390">
        <f>+J96*G119+E119</f>
        <v>0</v>
      </c>
      <c r="J119" s="402">
        <f t="shared" si="7"/>
        <v>0</v>
      </c>
      <c r="K119" s="402"/>
      <c r="L119" s="790"/>
      <c r="M119" s="402">
        <f t="shared" si="1"/>
        <v>0</v>
      </c>
      <c r="N119" s="790"/>
      <c r="O119" s="402">
        <f t="shared" si="2"/>
        <v>0</v>
      </c>
      <c r="P119" s="402">
        <f t="shared" si="3"/>
        <v>0</v>
      </c>
      <c r="Q119" s="409"/>
    </row>
    <row r="120" spans="3:17" ht="12.75">
      <c r="C120" s="397">
        <f>IF(D94="","-",+C119+1)</f>
        <v>2028</v>
      </c>
      <c r="D120" s="398">
        <f t="shared" si="4"/>
        <v>0</v>
      </c>
      <c r="E120" s="400">
        <f t="shared" si="6"/>
        <v>0</v>
      </c>
      <c r="F120" s="400">
        <f t="shared" si="0"/>
        <v>0</v>
      </c>
      <c r="G120" s="398">
        <f t="shared" si="5"/>
        <v>0</v>
      </c>
      <c r="H120" s="401">
        <f>+J95*G120+E120</f>
        <v>0</v>
      </c>
      <c r="I120" s="390">
        <f>+J96*G120+E120</f>
        <v>0</v>
      </c>
      <c r="J120" s="402">
        <f t="shared" si="7"/>
        <v>0</v>
      </c>
      <c r="K120" s="402"/>
      <c r="L120" s="790"/>
      <c r="M120" s="402">
        <f t="shared" si="1"/>
        <v>0</v>
      </c>
      <c r="N120" s="790"/>
      <c r="O120" s="402">
        <f t="shared" si="2"/>
        <v>0</v>
      </c>
      <c r="P120" s="402">
        <f t="shared" si="3"/>
        <v>0</v>
      </c>
      <c r="Q120" s="409"/>
    </row>
    <row r="121" spans="3:17" ht="12.75">
      <c r="C121" s="397">
        <f>IF(D94="","-",+C120+1)</f>
        <v>2029</v>
      </c>
      <c r="D121" s="398">
        <f t="shared" si="4"/>
        <v>0</v>
      </c>
      <c r="E121" s="400">
        <f t="shared" si="6"/>
        <v>0</v>
      </c>
      <c r="F121" s="400">
        <f t="shared" si="0"/>
        <v>0</v>
      </c>
      <c r="G121" s="398">
        <f t="shared" si="5"/>
        <v>0</v>
      </c>
      <c r="H121" s="401">
        <f>+J95*G121+E121</f>
        <v>0</v>
      </c>
      <c r="I121" s="390">
        <f>+J96*G121+E121</f>
        <v>0</v>
      </c>
      <c r="J121" s="402">
        <f t="shared" si="7"/>
        <v>0</v>
      </c>
      <c r="K121" s="402"/>
      <c r="L121" s="790"/>
      <c r="M121" s="402">
        <f t="shared" si="1"/>
        <v>0</v>
      </c>
      <c r="N121" s="790"/>
      <c r="O121" s="402">
        <f t="shared" si="2"/>
        <v>0</v>
      </c>
      <c r="P121" s="402">
        <f t="shared" si="3"/>
        <v>0</v>
      </c>
      <c r="Q121" s="409"/>
    </row>
    <row r="122" spans="3:17" ht="12.75">
      <c r="C122" s="397">
        <f>IF(D94="","-",+C121+1)</f>
        <v>2030</v>
      </c>
      <c r="D122" s="398">
        <f t="shared" si="4"/>
        <v>0</v>
      </c>
      <c r="E122" s="400">
        <f t="shared" si="6"/>
        <v>0</v>
      </c>
      <c r="F122" s="400">
        <f t="shared" si="0"/>
        <v>0</v>
      </c>
      <c r="G122" s="398">
        <f t="shared" si="5"/>
        <v>0</v>
      </c>
      <c r="H122" s="401">
        <f>+J95*G122+E122</f>
        <v>0</v>
      </c>
      <c r="I122" s="390">
        <f>+J96*G122+E122</f>
        <v>0</v>
      </c>
      <c r="J122" s="402">
        <f t="shared" si="7"/>
        <v>0</v>
      </c>
      <c r="K122" s="402"/>
      <c r="L122" s="790"/>
      <c r="M122" s="402">
        <f t="shared" si="1"/>
        <v>0</v>
      </c>
      <c r="N122" s="790"/>
      <c r="O122" s="402">
        <f t="shared" si="2"/>
        <v>0</v>
      </c>
      <c r="P122" s="402">
        <f t="shared" si="3"/>
        <v>0</v>
      </c>
      <c r="Q122" s="409"/>
    </row>
    <row r="123" spans="3:17" ht="12.75">
      <c r="C123" s="397">
        <f>IF(D94="","-",+C122+1)</f>
        <v>2031</v>
      </c>
      <c r="D123" s="398">
        <f t="shared" si="4"/>
        <v>0</v>
      </c>
      <c r="E123" s="400">
        <f t="shared" si="6"/>
        <v>0</v>
      </c>
      <c r="F123" s="400">
        <f t="shared" si="0"/>
        <v>0</v>
      </c>
      <c r="G123" s="398">
        <f t="shared" si="5"/>
        <v>0</v>
      </c>
      <c r="H123" s="401">
        <f>+J95*G123+E123</f>
        <v>0</v>
      </c>
      <c r="I123" s="390">
        <f>+J96*G123+E123</f>
        <v>0</v>
      </c>
      <c r="J123" s="402">
        <f t="shared" si="7"/>
        <v>0</v>
      </c>
      <c r="K123" s="402"/>
      <c r="L123" s="790"/>
      <c r="M123" s="402">
        <f t="shared" si="1"/>
        <v>0</v>
      </c>
      <c r="N123" s="790"/>
      <c r="O123" s="402">
        <f t="shared" si="2"/>
        <v>0</v>
      </c>
      <c r="P123" s="402">
        <f t="shared" si="3"/>
        <v>0</v>
      </c>
      <c r="Q123" s="409"/>
    </row>
    <row r="124" spans="3:17" ht="12.75">
      <c r="C124" s="397">
        <f>IF(D94="","-",+C123+1)</f>
        <v>2032</v>
      </c>
      <c r="D124" s="398">
        <f t="shared" si="4"/>
        <v>0</v>
      </c>
      <c r="E124" s="400">
        <f t="shared" si="6"/>
        <v>0</v>
      </c>
      <c r="F124" s="400">
        <f t="shared" si="0"/>
        <v>0</v>
      </c>
      <c r="G124" s="398">
        <f t="shared" si="5"/>
        <v>0</v>
      </c>
      <c r="H124" s="401">
        <f>+J95*G124+E124</f>
        <v>0</v>
      </c>
      <c r="I124" s="390">
        <f>+J96*G124+E124</f>
        <v>0</v>
      </c>
      <c r="J124" s="402">
        <f t="shared" si="7"/>
        <v>0</v>
      </c>
      <c r="K124" s="402"/>
      <c r="L124" s="790"/>
      <c r="M124" s="402">
        <f t="shared" si="1"/>
        <v>0</v>
      </c>
      <c r="N124" s="790"/>
      <c r="O124" s="402">
        <f t="shared" si="2"/>
        <v>0</v>
      </c>
      <c r="P124" s="402">
        <f t="shared" si="3"/>
        <v>0</v>
      </c>
      <c r="Q124" s="409"/>
    </row>
    <row r="125" spans="3:17" ht="12.75">
      <c r="C125" s="397">
        <f>IF(D94="","-",+C124+1)</f>
        <v>2033</v>
      </c>
      <c r="D125" s="398">
        <f t="shared" si="4"/>
        <v>0</v>
      </c>
      <c r="E125" s="400">
        <f t="shared" si="6"/>
        <v>0</v>
      </c>
      <c r="F125" s="400">
        <f t="shared" si="0"/>
        <v>0</v>
      </c>
      <c r="G125" s="398">
        <f t="shared" si="5"/>
        <v>0</v>
      </c>
      <c r="H125" s="401">
        <f>+J95*G125+E125</f>
        <v>0</v>
      </c>
      <c r="I125" s="390">
        <f>+J96*G125+E125</f>
        <v>0</v>
      </c>
      <c r="J125" s="402">
        <f t="shared" si="7"/>
        <v>0</v>
      </c>
      <c r="K125" s="402"/>
      <c r="L125" s="790"/>
      <c r="M125" s="402">
        <f t="shared" si="1"/>
        <v>0</v>
      </c>
      <c r="N125" s="790"/>
      <c r="O125" s="402">
        <f t="shared" si="2"/>
        <v>0</v>
      </c>
      <c r="P125" s="402">
        <f t="shared" si="3"/>
        <v>0</v>
      </c>
      <c r="Q125" s="409"/>
    </row>
    <row r="126" spans="3:17" ht="12.75">
      <c r="C126" s="397">
        <f>IF(D94="","-",+C125+1)</f>
        <v>2034</v>
      </c>
      <c r="D126" s="398">
        <f t="shared" si="4"/>
        <v>0</v>
      </c>
      <c r="E126" s="400">
        <f t="shared" si="6"/>
        <v>0</v>
      </c>
      <c r="F126" s="400">
        <f t="shared" si="0"/>
        <v>0</v>
      </c>
      <c r="G126" s="398">
        <f t="shared" si="5"/>
        <v>0</v>
      </c>
      <c r="H126" s="401">
        <f>+J95*G126+E126</f>
        <v>0</v>
      </c>
      <c r="I126" s="390">
        <f>+J96*G126+E126</f>
        <v>0</v>
      </c>
      <c r="J126" s="402">
        <f t="shared" si="7"/>
        <v>0</v>
      </c>
      <c r="K126" s="402"/>
      <c r="L126" s="790"/>
      <c r="M126" s="402">
        <f t="shared" si="1"/>
        <v>0</v>
      </c>
      <c r="N126" s="790"/>
      <c r="O126" s="402">
        <f t="shared" si="2"/>
        <v>0</v>
      </c>
      <c r="P126" s="402">
        <f t="shared" si="3"/>
        <v>0</v>
      </c>
      <c r="Q126" s="409"/>
    </row>
    <row r="127" spans="3:17" ht="12.75">
      <c r="C127" s="397">
        <f>IF(D94="","-",+C126+1)</f>
        <v>2035</v>
      </c>
      <c r="D127" s="398">
        <f t="shared" si="4"/>
        <v>0</v>
      </c>
      <c r="E127" s="400">
        <f t="shared" si="6"/>
        <v>0</v>
      </c>
      <c r="F127" s="400">
        <f t="shared" si="0"/>
        <v>0</v>
      </c>
      <c r="G127" s="398">
        <f t="shared" si="5"/>
        <v>0</v>
      </c>
      <c r="H127" s="401">
        <f>+J95*G127+E127</f>
        <v>0</v>
      </c>
      <c r="I127" s="390">
        <f>+J96*G127+E127</f>
        <v>0</v>
      </c>
      <c r="J127" s="402">
        <f t="shared" si="7"/>
        <v>0</v>
      </c>
      <c r="K127" s="402"/>
      <c r="L127" s="790"/>
      <c r="M127" s="402">
        <f t="shared" si="1"/>
        <v>0</v>
      </c>
      <c r="N127" s="790"/>
      <c r="O127" s="402">
        <f t="shared" si="2"/>
        <v>0</v>
      </c>
      <c r="P127" s="402">
        <f t="shared" si="3"/>
        <v>0</v>
      </c>
      <c r="Q127" s="409"/>
    </row>
    <row r="128" spans="3:17" ht="12.75">
      <c r="C128" s="397">
        <f>IF(D94="","-",+C127+1)</f>
        <v>2036</v>
      </c>
      <c r="D128" s="398">
        <f t="shared" si="4"/>
        <v>0</v>
      </c>
      <c r="E128" s="400">
        <f t="shared" si="6"/>
        <v>0</v>
      </c>
      <c r="F128" s="400">
        <f t="shared" si="0"/>
        <v>0</v>
      </c>
      <c r="G128" s="398">
        <f t="shared" si="5"/>
        <v>0</v>
      </c>
      <c r="H128" s="401">
        <f>+J95*G128+E128</f>
        <v>0</v>
      </c>
      <c r="I128" s="390">
        <f>+J96*G128+E128</f>
        <v>0</v>
      </c>
      <c r="J128" s="402">
        <f t="shared" si="7"/>
        <v>0</v>
      </c>
      <c r="K128" s="402"/>
      <c r="L128" s="790"/>
      <c r="M128" s="402">
        <f t="shared" si="1"/>
        <v>0</v>
      </c>
      <c r="N128" s="790"/>
      <c r="O128" s="402">
        <f t="shared" si="2"/>
        <v>0</v>
      </c>
      <c r="P128" s="402">
        <f t="shared" si="3"/>
        <v>0</v>
      </c>
      <c r="Q128" s="409"/>
    </row>
    <row r="129" spans="3:17" ht="12.75">
      <c r="C129" s="397">
        <f>IF(D94="","-",+C128+1)</f>
        <v>2037</v>
      </c>
      <c r="D129" s="398">
        <f t="shared" si="4"/>
        <v>0</v>
      </c>
      <c r="E129" s="400">
        <f t="shared" si="6"/>
        <v>0</v>
      </c>
      <c r="F129" s="400">
        <f t="shared" si="0"/>
        <v>0</v>
      </c>
      <c r="G129" s="398">
        <f t="shared" si="5"/>
        <v>0</v>
      </c>
      <c r="H129" s="401">
        <f>+J95*G129+E129</f>
        <v>0</v>
      </c>
      <c r="I129" s="390">
        <f>+J96*G129+E129</f>
        <v>0</v>
      </c>
      <c r="J129" s="402">
        <f t="shared" si="7"/>
        <v>0</v>
      </c>
      <c r="K129" s="402"/>
      <c r="L129" s="790"/>
      <c r="M129" s="402">
        <f t="shared" si="1"/>
        <v>0</v>
      </c>
      <c r="N129" s="790"/>
      <c r="O129" s="402">
        <f t="shared" si="2"/>
        <v>0</v>
      </c>
      <c r="P129" s="402">
        <f t="shared" si="3"/>
        <v>0</v>
      </c>
      <c r="Q129" s="409"/>
    </row>
    <row r="130" spans="3:17" ht="12.75">
      <c r="C130" s="397">
        <f>IF(D94="","-",+C129+1)</f>
        <v>2038</v>
      </c>
      <c r="D130" s="398">
        <f t="shared" si="4"/>
        <v>0</v>
      </c>
      <c r="E130" s="400">
        <f t="shared" si="6"/>
        <v>0</v>
      </c>
      <c r="F130" s="400">
        <f t="shared" si="0"/>
        <v>0</v>
      </c>
      <c r="G130" s="398">
        <f t="shared" si="5"/>
        <v>0</v>
      </c>
      <c r="H130" s="401">
        <f>+J95*G130+E130</f>
        <v>0</v>
      </c>
      <c r="I130" s="390">
        <f>+J96*G130+E130</f>
        <v>0</v>
      </c>
      <c r="J130" s="402">
        <f t="shared" si="7"/>
        <v>0</v>
      </c>
      <c r="K130" s="402"/>
      <c r="L130" s="790"/>
      <c r="M130" s="402">
        <f t="shared" si="1"/>
        <v>0</v>
      </c>
      <c r="N130" s="790"/>
      <c r="O130" s="402">
        <f t="shared" si="2"/>
        <v>0</v>
      </c>
      <c r="P130" s="402">
        <f t="shared" si="3"/>
        <v>0</v>
      </c>
      <c r="Q130" s="409"/>
    </row>
    <row r="131" spans="3:17" ht="12.75">
      <c r="C131" s="397">
        <f>IF(D94="","-",+C130+1)</f>
        <v>2039</v>
      </c>
      <c r="D131" s="398">
        <f t="shared" si="4"/>
        <v>0</v>
      </c>
      <c r="E131" s="400">
        <f t="shared" si="6"/>
        <v>0</v>
      </c>
      <c r="F131" s="400">
        <f t="shared" si="0"/>
        <v>0</v>
      </c>
      <c r="G131" s="398">
        <f t="shared" si="5"/>
        <v>0</v>
      </c>
      <c r="H131" s="401">
        <f>+J95*G131+E131</f>
        <v>0</v>
      </c>
      <c r="I131" s="390">
        <f>+J96*G131+E131</f>
        <v>0</v>
      </c>
      <c r="J131" s="402">
        <f t="shared" si="7"/>
        <v>0</v>
      </c>
      <c r="K131" s="402"/>
      <c r="L131" s="790"/>
      <c r="M131" s="402">
        <f t="shared" si="1"/>
        <v>0</v>
      </c>
      <c r="N131" s="790"/>
      <c r="O131" s="402">
        <f t="shared" si="2"/>
        <v>0</v>
      </c>
      <c r="P131" s="402">
        <f t="shared" si="3"/>
        <v>0</v>
      </c>
      <c r="Q131" s="409"/>
    </row>
    <row r="132" spans="3:17" ht="12.75">
      <c r="C132" s="397">
        <f>IF(D94="","-",+C131+1)</f>
        <v>2040</v>
      </c>
      <c r="D132" s="398">
        <f t="shared" si="4"/>
        <v>0</v>
      </c>
      <c r="E132" s="400">
        <f t="shared" si="6"/>
        <v>0</v>
      </c>
      <c r="F132" s="400">
        <f t="shared" si="0"/>
        <v>0</v>
      </c>
      <c r="G132" s="398">
        <f t="shared" si="5"/>
        <v>0</v>
      </c>
      <c r="H132" s="401">
        <f>+J95*G132+E132</f>
        <v>0</v>
      </c>
      <c r="I132" s="390">
        <f>+J96*G132+E132</f>
        <v>0</v>
      </c>
      <c r="J132" s="402">
        <f t="shared" si="7"/>
        <v>0</v>
      </c>
      <c r="K132" s="402"/>
      <c r="L132" s="790"/>
      <c r="M132" s="402">
        <f t="shared" si="1"/>
        <v>0</v>
      </c>
      <c r="N132" s="790"/>
      <c r="O132" s="402">
        <f t="shared" si="2"/>
        <v>0</v>
      </c>
      <c r="P132" s="402">
        <f t="shared" si="3"/>
        <v>0</v>
      </c>
      <c r="Q132" s="409"/>
    </row>
    <row r="133" spans="3:17" ht="12.75">
      <c r="C133" s="397">
        <f>IF(D94="","-",+C132+1)</f>
        <v>2041</v>
      </c>
      <c r="D133" s="398">
        <f t="shared" si="4"/>
        <v>0</v>
      </c>
      <c r="E133" s="400">
        <f t="shared" si="6"/>
        <v>0</v>
      </c>
      <c r="F133" s="400">
        <f t="shared" si="0"/>
        <v>0</v>
      </c>
      <c r="G133" s="398">
        <f t="shared" si="5"/>
        <v>0</v>
      </c>
      <c r="H133" s="401">
        <f>+J95*G133+E133</f>
        <v>0</v>
      </c>
      <c r="I133" s="390">
        <f>+J96*G133+E133</f>
        <v>0</v>
      </c>
      <c r="J133" s="402">
        <f t="shared" si="7"/>
        <v>0</v>
      </c>
      <c r="K133" s="402"/>
      <c r="L133" s="790"/>
      <c r="M133" s="402">
        <f t="shared" si="1"/>
        <v>0</v>
      </c>
      <c r="N133" s="790"/>
      <c r="O133" s="402">
        <f t="shared" si="2"/>
        <v>0</v>
      </c>
      <c r="P133" s="402">
        <f t="shared" si="3"/>
        <v>0</v>
      </c>
      <c r="Q133" s="409"/>
    </row>
    <row r="134" spans="3:17" ht="12.75">
      <c r="C134" s="397">
        <f>IF(D94="","-",+C133+1)</f>
        <v>2042</v>
      </c>
      <c r="D134" s="398">
        <f t="shared" si="4"/>
        <v>0</v>
      </c>
      <c r="E134" s="400">
        <f t="shared" si="6"/>
        <v>0</v>
      </c>
      <c r="F134" s="400">
        <f t="shared" si="0"/>
        <v>0</v>
      </c>
      <c r="G134" s="398">
        <f t="shared" si="5"/>
        <v>0</v>
      </c>
      <c r="H134" s="401">
        <f>+J95*G134+E134</f>
        <v>0</v>
      </c>
      <c r="I134" s="390">
        <f>+J96*G134+E134</f>
        <v>0</v>
      </c>
      <c r="J134" s="402">
        <f t="shared" si="7"/>
        <v>0</v>
      </c>
      <c r="K134" s="402"/>
      <c r="L134" s="790"/>
      <c r="M134" s="402">
        <f t="shared" si="1"/>
        <v>0</v>
      </c>
      <c r="N134" s="790"/>
      <c r="O134" s="402">
        <f t="shared" si="2"/>
        <v>0</v>
      </c>
      <c r="P134" s="402">
        <f t="shared" si="3"/>
        <v>0</v>
      </c>
      <c r="Q134" s="409"/>
    </row>
    <row r="135" spans="3:17" ht="12.75">
      <c r="C135" s="397">
        <f>IF(D94="","-",+C134+1)</f>
        <v>2043</v>
      </c>
      <c r="D135" s="398">
        <f t="shared" si="4"/>
        <v>0</v>
      </c>
      <c r="E135" s="400">
        <f t="shared" si="6"/>
        <v>0</v>
      </c>
      <c r="F135" s="400">
        <f t="shared" si="0"/>
        <v>0</v>
      </c>
      <c r="G135" s="398">
        <f t="shared" si="5"/>
        <v>0</v>
      </c>
      <c r="H135" s="401">
        <f>+J95*G135+E135</f>
        <v>0</v>
      </c>
      <c r="I135" s="390">
        <f>+J96*G135+E135</f>
        <v>0</v>
      </c>
      <c r="J135" s="402">
        <f t="shared" si="7"/>
        <v>0</v>
      </c>
      <c r="K135" s="402"/>
      <c r="L135" s="790"/>
      <c r="M135" s="402">
        <f t="shared" si="1"/>
        <v>0</v>
      </c>
      <c r="N135" s="790"/>
      <c r="O135" s="402">
        <f t="shared" si="2"/>
        <v>0</v>
      </c>
      <c r="P135" s="402">
        <f t="shared" si="3"/>
        <v>0</v>
      </c>
      <c r="Q135" s="409"/>
    </row>
    <row r="136" spans="3:17" ht="12.75">
      <c r="C136" s="397">
        <f>IF(D94="","-",+C135+1)</f>
        <v>2044</v>
      </c>
      <c r="D136" s="398">
        <f t="shared" si="4"/>
        <v>0</v>
      </c>
      <c r="E136" s="400">
        <f t="shared" si="6"/>
        <v>0</v>
      </c>
      <c r="F136" s="400">
        <f t="shared" si="0"/>
        <v>0</v>
      </c>
      <c r="G136" s="398">
        <f t="shared" si="5"/>
        <v>0</v>
      </c>
      <c r="H136" s="401">
        <f>+J95*G136+E136</f>
        <v>0</v>
      </c>
      <c r="I136" s="390">
        <f>+J96*G136+E136</f>
        <v>0</v>
      </c>
      <c r="J136" s="402">
        <f t="shared" si="7"/>
        <v>0</v>
      </c>
      <c r="K136" s="402"/>
      <c r="L136" s="790"/>
      <c r="M136" s="402">
        <f t="shared" si="1"/>
        <v>0</v>
      </c>
      <c r="N136" s="790"/>
      <c r="O136" s="402">
        <f t="shared" si="2"/>
        <v>0</v>
      </c>
      <c r="P136" s="402">
        <f t="shared" si="3"/>
        <v>0</v>
      </c>
      <c r="Q136" s="409"/>
    </row>
    <row r="137" spans="3:17" ht="12.75">
      <c r="C137" s="397">
        <f>IF(D94="","-",+C136+1)</f>
        <v>2045</v>
      </c>
      <c r="D137" s="398">
        <f t="shared" si="4"/>
        <v>0</v>
      </c>
      <c r="E137" s="400">
        <f t="shared" si="6"/>
        <v>0</v>
      </c>
      <c r="F137" s="400">
        <f t="shared" si="0"/>
        <v>0</v>
      </c>
      <c r="G137" s="398">
        <f t="shared" si="5"/>
        <v>0</v>
      </c>
      <c r="H137" s="401">
        <f>+J95*G137+E137</f>
        <v>0</v>
      </c>
      <c r="I137" s="390">
        <f>+J96*G137+E137</f>
        <v>0</v>
      </c>
      <c r="J137" s="402">
        <f t="shared" si="7"/>
        <v>0</v>
      </c>
      <c r="K137" s="402"/>
      <c r="L137" s="790"/>
      <c r="M137" s="402">
        <f t="shared" si="1"/>
        <v>0</v>
      </c>
      <c r="N137" s="790"/>
      <c r="O137" s="402">
        <f t="shared" si="2"/>
        <v>0</v>
      </c>
      <c r="P137" s="402">
        <f t="shared" si="3"/>
        <v>0</v>
      </c>
      <c r="Q137" s="409"/>
    </row>
    <row r="138" spans="3:17" ht="12.75">
      <c r="C138" s="397">
        <f>IF(D94="","-",+C137+1)</f>
        <v>2046</v>
      </c>
      <c r="D138" s="398">
        <f t="shared" si="4"/>
        <v>0</v>
      </c>
      <c r="E138" s="400">
        <f t="shared" si="6"/>
        <v>0</v>
      </c>
      <c r="F138" s="400">
        <f t="shared" si="0"/>
        <v>0</v>
      </c>
      <c r="G138" s="398">
        <f t="shared" si="5"/>
        <v>0</v>
      </c>
      <c r="H138" s="401">
        <f>+J95*G138+E138</f>
        <v>0</v>
      </c>
      <c r="I138" s="390">
        <f>+J96*G138+E138</f>
        <v>0</v>
      </c>
      <c r="J138" s="402">
        <f t="shared" si="7"/>
        <v>0</v>
      </c>
      <c r="K138" s="402"/>
      <c r="L138" s="790"/>
      <c r="M138" s="402">
        <f t="shared" si="1"/>
        <v>0</v>
      </c>
      <c r="N138" s="790"/>
      <c r="O138" s="402">
        <f t="shared" si="2"/>
        <v>0</v>
      </c>
      <c r="P138" s="402">
        <f t="shared" si="3"/>
        <v>0</v>
      </c>
      <c r="Q138" s="409"/>
    </row>
    <row r="139" spans="3:17" ht="12.75">
      <c r="C139" s="397">
        <f>IF(D94="","-",+C138+1)</f>
        <v>2047</v>
      </c>
      <c r="D139" s="398">
        <f t="shared" si="4"/>
        <v>0</v>
      </c>
      <c r="E139" s="400">
        <f t="shared" si="6"/>
        <v>0</v>
      </c>
      <c r="F139" s="400">
        <f t="shared" si="0"/>
        <v>0</v>
      </c>
      <c r="G139" s="398">
        <f t="shared" si="5"/>
        <v>0</v>
      </c>
      <c r="H139" s="401">
        <f>+J95*G139+E139</f>
        <v>0</v>
      </c>
      <c r="I139" s="390">
        <f>+J96*G139+E139</f>
        <v>0</v>
      </c>
      <c r="J139" s="402">
        <f t="shared" si="7"/>
        <v>0</v>
      </c>
      <c r="K139" s="402"/>
      <c r="L139" s="790"/>
      <c r="M139" s="402">
        <f t="shared" si="1"/>
        <v>0</v>
      </c>
      <c r="N139" s="790"/>
      <c r="O139" s="402">
        <f t="shared" si="2"/>
        <v>0</v>
      </c>
      <c r="P139" s="402">
        <f t="shared" si="3"/>
        <v>0</v>
      </c>
      <c r="Q139" s="409"/>
    </row>
    <row r="140" spans="3:17" ht="12.75">
      <c r="C140" s="397">
        <f>IF(D94="","-",+C139+1)</f>
        <v>2048</v>
      </c>
      <c r="D140" s="398">
        <f t="shared" si="4"/>
        <v>0</v>
      </c>
      <c r="E140" s="400">
        <f t="shared" si="6"/>
        <v>0</v>
      </c>
      <c r="F140" s="400">
        <f t="shared" si="0"/>
        <v>0</v>
      </c>
      <c r="G140" s="398">
        <f t="shared" si="5"/>
        <v>0</v>
      </c>
      <c r="H140" s="401">
        <f>+J95*G140+E140</f>
        <v>0</v>
      </c>
      <c r="I140" s="390">
        <f>+J96*G140+E140</f>
        <v>0</v>
      </c>
      <c r="J140" s="402">
        <f t="shared" si="7"/>
        <v>0</v>
      </c>
      <c r="K140" s="402"/>
      <c r="L140" s="790"/>
      <c r="M140" s="402">
        <f t="shared" si="1"/>
        <v>0</v>
      </c>
      <c r="N140" s="790"/>
      <c r="O140" s="402">
        <f t="shared" si="2"/>
        <v>0</v>
      </c>
      <c r="P140" s="402">
        <f t="shared" si="3"/>
        <v>0</v>
      </c>
      <c r="Q140" s="409"/>
    </row>
    <row r="141" spans="3:17" ht="12.75">
      <c r="C141" s="397">
        <f>IF(D94="","-",+C140+1)</f>
        <v>2049</v>
      </c>
      <c r="D141" s="398">
        <f t="shared" si="4"/>
        <v>0</v>
      </c>
      <c r="E141" s="400">
        <f t="shared" si="6"/>
        <v>0</v>
      </c>
      <c r="F141" s="400">
        <f aca="true" t="shared" si="8" ref="F141:F159">+D141-E141</f>
        <v>0</v>
      </c>
      <c r="G141" s="398">
        <f t="shared" si="5"/>
        <v>0</v>
      </c>
      <c r="H141" s="401">
        <f>+J95*G141+E141</f>
        <v>0</v>
      </c>
      <c r="I141" s="390">
        <f>+J96*G141+E141</f>
        <v>0</v>
      </c>
      <c r="J141" s="402">
        <f t="shared" si="7"/>
        <v>0</v>
      </c>
      <c r="K141" s="402"/>
      <c r="L141" s="790"/>
      <c r="M141" s="402">
        <f aca="true" t="shared" si="9" ref="M141:M159">IF(L141&lt;&gt;0,+H141-L141,0)</f>
        <v>0</v>
      </c>
      <c r="N141" s="790"/>
      <c r="O141" s="402">
        <f aca="true" t="shared" si="10" ref="O141:O159">IF(N141&lt;&gt;0,+I141-N141,0)</f>
        <v>0</v>
      </c>
      <c r="P141" s="402">
        <f aca="true" t="shared" si="11" ref="P141:P159">+O141-M141</f>
        <v>0</v>
      </c>
      <c r="Q141" s="409"/>
    </row>
    <row r="142" spans="3:17" ht="12.75">
      <c r="C142" s="397">
        <f>IF(D94="","-",+C141+1)</f>
        <v>2050</v>
      </c>
      <c r="D142" s="398">
        <f aca="true" t="shared" si="12" ref="D142:D159">F141</f>
        <v>0</v>
      </c>
      <c r="E142" s="400">
        <f t="shared" si="6"/>
        <v>0</v>
      </c>
      <c r="F142" s="400">
        <f t="shared" si="8"/>
        <v>0</v>
      </c>
      <c r="G142" s="398">
        <f t="shared" si="5"/>
        <v>0</v>
      </c>
      <c r="H142" s="401">
        <f>+J95*G142+E142</f>
        <v>0</v>
      </c>
      <c r="I142" s="390">
        <f>+J96*G142+E142</f>
        <v>0</v>
      </c>
      <c r="J142" s="402">
        <f t="shared" si="7"/>
        <v>0</v>
      </c>
      <c r="K142" s="402"/>
      <c r="L142" s="790"/>
      <c r="M142" s="402">
        <f t="shared" si="9"/>
        <v>0</v>
      </c>
      <c r="N142" s="790"/>
      <c r="O142" s="402">
        <f t="shared" si="10"/>
        <v>0</v>
      </c>
      <c r="P142" s="402">
        <f t="shared" si="11"/>
        <v>0</v>
      </c>
      <c r="Q142" s="409"/>
    </row>
    <row r="143" spans="3:17" ht="12.75">
      <c r="C143" s="397">
        <f>IF(D94="","-",+C142+1)</f>
        <v>2051</v>
      </c>
      <c r="D143" s="398">
        <f t="shared" si="12"/>
        <v>0</v>
      </c>
      <c r="E143" s="400">
        <f t="shared" si="6"/>
        <v>0</v>
      </c>
      <c r="F143" s="400">
        <f t="shared" si="8"/>
        <v>0</v>
      </c>
      <c r="G143" s="398">
        <f t="shared" si="5"/>
        <v>0</v>
      </c>
      <c r="H143" s="401">
        <f>+J95*G143+E143</f>
        <v>0</v>
      </c>
      <c r="I143" s="390">
        <f>+J96*G143+E143</f>
        <v>0</v>
      </c>
      <c r="J143" s="402">
        <f t="shared" si="7"/>
        <v>0</v>
      </c>
      <c r="K143" s="402"/>
      <c r="L143" s="790"/>
      <c r="M143" s="402">
        <f t="shared" si="9"/>
        <v>0</v>
      </c>
      <c r="N143" s="790"/>
      <c r="O143" s="402">
        <f t="shared" si="10"/>
        <v>0</v>
      </c>
      <c r="P143" s="402">
        <f t="shared" si="11"/>
        <v>0</v>
      </c>
      <c r="Q143" s="409"/>
    </row>
    <row r="144" spans="3:17" ht="12.75">
      <c r="C144" s="397">
        <f>IF(D94="","-",+C143+1)</f>
        <v>2052</v>
      </c>
      <c r="D144" s="398">
        <f t="shared" si="12"/>
        <v>0</v>
      </c>
      <c r="E144" s="400">
        <f t="shared" si="6"/>
        <v>0</v>
      </c>
      <c r="F144" s="400">
        <f t="shared" si="8"/>
        <v>0</v>
      </c>
      <c r="G144" s="398">
        <f t="shared" si="5"/>
        <v>0</v>
      </c>
      <c r="H144" s="401">
        <f>+J95*G144+E144</f>
        <v>0</v>
      </c>
      <c r="I144" s="390">
        <f>+J96*G144+E144</f>
        <v>0</v>
      </c>
      <c r="J144" s="402">
        <f t="shared" si="7"/>
        <v>0</v>
      </c>
      <c r="K144" s="402"/>
      <c r="L144" s="790"/>
      <c r="M144" s="402">
        <f t="shared" si="9"/>
        <v>0</v>
      </c>
      <c r="N144" s="790"/>
      <c r="O144" s="402">
        <f t="shared" si="10"/>
        <v>0</v>
      </c>
      <c r="P144" s="402">
        <f t="shared" si="11"/>
        <v>0</v>
      </c>
      <c r="Q144" s="409"/>
    </row>
    <row r="145" spans="3:17" ht="12.75">
      <c r="C145" s="397">
        <f>IF(D94="","-",+C144+1)</f>
        <v>2053</v>
      </c>
      <c r="D145" s="398">
        <f t="shared" si="12"/>
        <v>0</v>
      </c>
      <c r="E145" s="400">
        <f t="shared" si="6"/>
        <v>0</v>
      </c>
      <c r="F145" s="400">
        <f t="shared" si="8"/>
        <v>0</v>
      </c>
      <c r="G145" s="398">
        <f t="shared" si="5"/>
        <v>0</v>
      </c>
      <c r="H145" s="401">
        <f>+J95*G145+E145</f>
        <v>0</v>
      </c>
      <c r="I145" s="390">
        <f>+J96*G145+E145</f>
        <v>0</v>
      </c>
      <c r="J145" s="402">
        <f t="shared" si="7"/>
        <v>0</v>
      </c>
      <c r="K145" s="402"/>
      <c r="L145" s="790"/>
      <c r="M145" s="402">
        <f t="shared" si="9"/>
        <v>0</v>
      </c>
      <c r="N145" s="790"/>
      <c r="O145" s="402">
        <f t="shared" si="10"/>
        <v>0</v>
      </c>
      <c r="P145" s="402">
        <f t="shared" si="11"/>
        <v>0</v>
      </c>
      <c r="Q145" s="409"/>
    </row>
    <row r="146" spans="3:17" ht="12.75">
      <c r="C146" s="397">
        <f>IF(D94="","-",+C145+1)</f>
        <v>2054</v>
      </c>
      <c r="D146" s="398">
        <f t="shared" si="12"/>
        <v>0</v>
      </c>
      <c r="E146" s="400">
        <f t="shared" si="6"/>
        <v>0</v>
      </c>
      <c r="F146" s="400">
        <f t="shared" si="8"/>
        <v>0</v>
      </c>
      <c r="G146" s="398">
        <f t="shared" si="5"/>
        <v>0</v>
      </c>
      <c r="H146" s="401">
        <f>+J95*G146+E146</f>
        <v>0</v>
      </c>
      <c r="I146" s="390">
        <f>+J96*G146+E146</f>
        <v>0</v>
      </c>
      <c r="J146" s="402">
        <f t="shared" si="7"/>
        <v>0</v>
      </c>
      <c r="K146" s="402"/>
      <c r="L146" s="790"/>
      <c r="M146" s="402">
        <f t="shared" si="9"/>
        <v>0</v>
      </c>
      <c r="N146" s="790"/>
      <c r="O146" s="402">
        <f t="shared" si="10"/>
        <v>0</v>
      </c>
      <c r="P146" s="402">
        <f t="shared" si="11"/>
        <v>0</v>
      </c>
      <c r="Q146" s="409"/>
    </row>
    <row r="147" spans="3:17" ht="12.75">
      <c r="C147" s="397">
        <f>IF(D94="","-",+C146+1)</f>
        <v>2055</v>
      </c>
      <c r="D147" s="398">
        <f t="shared" si="12"/>
        <v>0</v>
      </c>
      <c r="E147" s="400">
        <f t="shared" si="6"/>
        <v>0</v>
      </c>
      <c r="F147" s="400">
        <f t="shared" si="8"/>
        <v>0</v>
      </c>
      <c r="G147" s="398">
        <f t="shared" si="5"/>
        <v>0</v>
      </c>
      <c r="H147" s="401">
        <f>+J95*G147+E147</f>
        <v>0</v>
      </c>
      <c r="I147" s="390">
        <f>+J96*G147+E147</f>
        <v>0</v>
      </c>
      <c r="J147" s="402">
        <f t="shared" si="7"/>
        <v>0</v>
      </c>
      <c r="K147" s="402"/>
      <c r="L147" s="790"/>
      <c r="M147" s="402">
        <f t="shared" si="9"/>
        <v>0</v>
      </c>
      <c r="N147" s="790"/>
      <c r="O147" s="402">
        <f t="shared" si="10"/>
        <v>0</v>
      </c>
      <c r="P147" s="402">
        <f t="shared" si="11"/>
        <v>0</v>
      </c>
      <c r="Q147" s="409"/>
    </row>
    <row r="148" spans="3:17" ht="12.75">
      <c r="C148" s="397">
        <f>IF(D94="","-",+C147+1)</f>
        <v>2056</v>
      </c>
      <c r="D148" s="398">
        <f t="shared" si="12"/>
        <v>0</v>
      </c>
      <c r="E148" s="400">
        <f t="shared" si="6"/>
        <v>0</v>
      </c>
      <c r="F148" s="400">
        <f t="shared" si="8"/>
        <v>0</v>
      </c>
      <c r="G148" s="398">
        <f t="shared" si="5"/>
        <v>0</v>
      </c>
      <c r="H148" s="401">
        <f>+J95*G148+E148</f>
        <v>0</v>
      </c>
      <c r="I148" s="390">
        <f>+J96*G148+E148</f>
        <v>0</v>
      </c>
      <c r="J148" s="402">
        <f t="shared" si="7"/>
        <v>0</v>
      </c>
      <c r="K148" s="402"/>
      <c r="L148" s="790"/>
      <c r="M148" s="402">
        <f t="shared" si="9"/>
        <v>0</v>
      </c>
      <c r="N148" s="790"/>
      <c r="O148" s="402">
        <f t="shared" si="10"/>
        <v>0</v>
      </c>
      <c r="P148" s="402">
        <f t="shared" si="11"/>
        <v>0</v>
      </c>
      <c r="Q148" s="409"/>
    </row>
    <row r="149" spans="3:17" ht="12.75">
      <c r="C149" s="397">
        <f>IF(D94="","-",+C148+1)</f>
        <v>2057</v>
      </c>
      <c r="D149" s="398">
        <f t="shared" si="12"/>
        <v>0</v>
      </c>
      <c r="E149" s="400">
        <f t="shared" si="6"/>
        <v>0</v>
      </c>
      <c r="F149" s="400">
        <f t="shared" si="8"/>
        <v>0</v>
      </c>
      <c r="G149" s="398">
        <f t="shared" si="5"/>
        <v>0</v>
      </c>
      <c r="H149" s="401">
        <f>+J95*G149+E149</f>
        <v>0</v>
      </c>
      <c r="I149" s="390">
        <f>+J96*G149+E149</f>
        <v>0</v>
      </c>
      <c r="J149" s="402">
        <f t="shared" si="7"/>
        <v>0</v>
      </c>
      <c r="K149" s="402"/>
      <c r="L149" s="790"/>
      <c r="M149" s="402">
        <f t="shared" si="9"/>
        <v>0</v>
      </c>
      <c r="N149" s="790"/>
      <c r="O149" s="402">
        <f t="shared" si="10"/>
        <v>0</v>
      </c>
      <c r="P149" s="402">
        <f t="shared" si="11"/>
        <v>0</v>
      </c>
      <c r="Q149" s="409"/>
    </row>
    <row r="150" spans="3:17" ht="12.75">
      <c r="C150" s="397">
        <f>IF(D94="","-",+C149+1)</f>
        <v>2058</v>
      </c>
      <c r="D150" s="398">
        <f t="shared" si="12"/>
        <v>0</v>
      </c>
      <c r="E150" s="400">
        <f t="shared" si="6"/>
        <v>0</v>
      </c>
      <c r="F150" s="400">
        <f t="shared" si="8"/>
        <v>0</v>
      </c>
      <c r="G150" s="398">
        <f t="shared" si="5"/>
        <v>0</v>
      </c>
      <c r="H150" s="401">
        <f>+J95*G150+E150</f>
        <v>0</v>
      </c>
      <c r="I150" s="390">
        <f>+J96*G150+E150</f>
        <v>0</v>
      </c>
      <c r="J150" s="402">
        <f t="shared" si="7"/>
        <v>0</v>
      </c>
      <c r="K150" s="402"/>
      <c r="L150" s="790"/>
      <c r="M150" s="402">
        <f t="shared" si="9"/>
        <v>0</v>
      </c>
      <c r="N150" s="790"/>
      <c r="O150" s="402">
        <f t="shared" si="10"/>
        <v>0</v>
      </c>
      <c r="P150" s="402">
        <f t="shared" si="11"/>
        <v>0</v>
      </c>
      <c r="Q150" s="409"/>
    </row>
    <row r="151" spans="3:17" ht="12.75">
      <c r="C151" s="397">
        <f>IF(D94="","-",+C150+1)</f>
        <v>2059</v>
      </c>
      <c r="D151" s="398">
        <f t="shared" si="12"/>
        <v>0</v>
      </c>
      <c r="E151" s="400">
        <f t="shared" si="6"/>
        <v>0</v>
      </c>
      <c r="F151" s="400">
        <f t="shared" si="8"/>
        <v>0</v>
      </c>
      <c r="G151" s="398">
        <f t="shared" si="5"/>
        <v>0</v>
      </c>
      <c r="H151" s="401">
        <f>+J95*G151+E151</f>
        <v>0</v>
      </c>
      <c r="I151" s="390">
        <f>+J96*G151+E151</f>
        <v>0</v>
      </c>
      <c r="J151" s="402">
        <f t="shared" si="7"/>
        <v>0</v>
      </c>
      <c r="K151" s="402"/>
      <c r="L151" s="790"/>
      <c r="M151" s="402">
        <f t="shared" si="9"/>
        <v>0</v>
      </c>
      <c r="N151" s="790"/>
      <c r="O151" s="402">
        <f t="shared" si="10"/>
        <v>0</v>
      </c>
      <c r="P151" s="402">
        <f t="shared" si="11"/>
        <v>0</v>
      </c>
      <c r="Q151" s="409"/>
    </row>
    <row r="152" spans="3:17" ht="12.75">
      <c r="C152" s="397">
        <f>IF(D94="","-",+C151+1)</f>
        <v>2060</v>
      </c>
      <c r="D152" s="398">
        <f t="shared" si="12"/>
        <v>0</v>
      </c>
      <c r="E152" s="400">
        <f t="shared" si="6"/>
        <v>0</v>
      </c>
      <c r="F152" s="400">
        <f t="shared" si="8"/>
        <v>0</v>
      </c>
      <c r="G152" s="398">
        <f t="shared" si="5"/>
        <v>0</v>
      </c>
      <c r="H152" s="401">
        <f>+J95*G152+E152</f>
        <v>0</v>
      </c>
      <c r="I152" s="390">
        <f>+J96*G152+E152</f>
        <v>0</v>
      </c>
      <c r="J152" s="402">
        <f t="shared" si="7"/>
        <v>0</v>
      </c>
      <c r="K152" s="402"/>
      <c r="L152" s="790"/>
      <c r="M152" s="402">
        <f t="shared" si="9"/>
        <v>0</v>
      </c>
      <c r="N152" s="790"/>
      <c r="O152" s="402">
        <f t="shared" si="10"/>
        <v>0</v>
      </c>
      <c r="P152" s="402">
        <f t="shared" si="11"/>
        <v>0</v>
      </c>
      <c r="Q152" s="409"/>
    </row>
    <row r="153" spans="3:17" ht="12.75">
      <c r="C153" s="397">
        <f>IF(D94="","-",+C152+1)</f>
        <v>2061</v>
      </c>
      <c r="D153" s="398">
        <f t="shared" si="12"/>
        <v>0</v>
      </c>
      <c r="E153" s="400">
        <f t="shared" si="6"/>
        <v>0</v>
      </c>
      <c r="F153" s="400">
        <f t="shared" si="8"/>
        <v>0</v>
      </c>
      <c r="G153" s="398">
        <f t="shared" si="5"/>
        <v>0</v>
      </c>
      <c r="H153" s="401">
        <f>+J95*G153+E153</f>
        <v>0</v>
      </c>
      <c r="I153" s="390">
        <f>+J96*G153+E153</f>
        <v>0</v>
      </c>
      <c r="J153" s="402">
        <f t="shared" si="7"/>
        <v>0</v>
      </c>
      <c r="K153" s="402"/>
      <c r="L153" s="790"/>
      <c r="M153" s="402">
        <f t="shared" si="9"/>
        <v>0</v>
      </c>
      <c r="N153" s="790"/>
      <c r="O153" s="402">
        <f t="shared" si="10"/>
        <v>0</v>
      </c>
      <c r="P153" s="402">
        <f t="shared" si="11"/>
        <v>0</v>
      </c>
      <c r="Q153" s="409"/>
    </row>
    <row r="154" spans="3:17" ht="12.75">
      <c r="C154" s="397">
        <f>IF(D94="","-",+C153+1)</f>
        <v>2062</v>
      </c>
      <c r="D154" s="398">
        <f>F153</f>
        <v>0</v>
      </c>
      <c r="E154" s="400">
        <f t="shared" si="6"/>
        <v>0</v>
      </c>
      <c r="F154" s="400">
        <f t="shared" si="8"/>
        <v>0</v>
      </c>
      <c r="G154" s="398">
        <f t="shared" si="5"/>
        <v>0</v>
      </c>
      <c r="H154" s="401">
        <f>+J95*G154+E154</f>
        <v>0</v>
      </c>
      <c r="I154" s="390">
        <f>+J96*G154+E154</f>
        <v>0</v>
      </c>
      <c r="J154" s="402">
        <f t="shared" si="7"/>
        <v>0</v>
      </c>
      <c r="K154" s="402"/>
      <c r="L154" s="790"/>
      <c r="M154" s="402">
        <f t="shared" si="9"/>
        <v>0</v>
      </c>
      <c r="N154" s="790"/>
      <c r="O154" s="402">
        <f t="shared" si="10"/>
        <v>0</v>
      </c>
      <c r="P154" s="402">
        <f t="shared" si="11"/>
        <v>0</v>
      </c>
      <c r="Q154" s="409"/>
    </row>
    <row r="155" spans="3:17" ht="12.75">
      <c r="C155" s="397">
        <f>IF(D94="","-",+C154+1)</f>
        <v>2063</v>
      </c>
      <c r="D155" s="398">
        <f t="shared" si="12"/>
        <v>0</v>
      </c>
      <c r="E155" s="400">
        <f t="shared" si="6"/>
        <v>0</v>
      </c>
      <c r="F155" s="400">
        <f t="shared" si="8"/>
        <v>0</v>
      </c>
      <c r="G155" s="398">
        <f t="shared" si="5"/>
        <v>0</v>
      </c>
      <c r="H155" s="401">
        <f>+J95*G155+E155</f>
        <v>0</v>
      </c>
      <c r="I155" s="390">
        <f>+J96*G155+E155</f>
        <v>0</v>
      </c>
      <c r="J155" s="402">
        <f t="shared" si="7"/>
        <v>0</v>
      </c>
      <c r="K155" s="402"/>
      <c r="L155" s="790"/>
      <c r="M155" s="402">
        <f t="shared" si="9"/>
        <v>0</v>
      </c>
      <c r="N155" s="790"/>
      <c r="O155" s="402">
        <f t="shared" si="10"/>
        <v>0</v>
      </c>
      <c r="P155" s="402">
        <f t="shared" si="11"/>
        <v>0</v>
      </c>
      <c r="Q155" s="409"/>
    </row>
    <row r="156" spans="3:17" ht="12.75">
      <c r="C156" s="397">
        <f>IF(D94="","-",+C155+1)</f>
        <v>2064</v>
      </c>
      <c r="D156" s="398">
        <f t="shared" si="12"/>
        <v>0</v>
      </c>
      <c r="E156" s="400">
        <f t="shared" si="6"/>
        <v>0</v>
      </c>
      <c r="F156" s="400">
        <f t="shared" si="8"/>
        <v>0</v>
      </c>
      <c r="G156" s="398">
        <f t="shared" si="5"/>
        <v>0</v>
      </c>
      <c r="H156" s="401">
        <f>+J95*G156+E156</f>
        <v>0</v>
      </c>
      <c r="I156" s="390">
        <f>+J96*G156+E156</f>
        <v>0</v>
      </c>
      <c r="J156" s="402">
        <f t="shared" si="7"/>
        <v>0</v>
      </c>
      <c r="K156" s="402"/>
      <c r="L156" s="790"/>
      <c r="M156" s="402">
        <f t="shared" si="9"/>
        <v>0</v>
      </c>
      <c r="N156" s="790"/>
      <c r="O156" s="402">
        <f t="shared" si="10"/>
        <v>0</v>
      </c>
      <c r="P156" s="402">
        <f t="shared" si="11"/>
        <v>0</v>
      </c>
      <c r="Q156" s="409"/>
    </row>
    <row r="157" spans="3:17" ht="12.75">
      <c r="C157" s="397">
        <f>IF(D94="","-",+C156+1)</f>
        <v>2065</v>
      </c>
      <c r="D157" s="398">
        <f t="shared" si="12"/>
        <v>0</v>
      </c>
      <c r="E157" s="400">
        <f t="shared" si="6"/>
        <v>0</v>
      </c>
      <c r="F157" s="400">
        <f t="shared" si="8"/>
        <v>0</v>
      </c>
      <c r="G157" s="398">
        <f t="shared" si="5"/>
        <v>0</v>
      </c>
      <c r="H157" s="401">
        <f>+J95*G157+E157</f>
        <v>0</v>
      </c>
      <c r="I157" s="390">
        <f>+J96*G157+E157</f>
        <v>0</v>
      </c>
      <c r="J157" s="402">
        <f t="shared" si="7"/>
        <v>0</v>
      </c>
      <c r="K157" s="402"/>
      <c r="L157" s="790"/>
      <c r="M157" s="402">
        <f t="shared" si="9"/>
        <v>0</v>
      </c>
      <c r="N157" s="790"/>
      <c r="O157" s="402">
        <f t="shared" si="10"/>
        <v>0</v>
      </c>
      <c r="P157" s="402">
        <f t="shared" si="11"/>
        <v>0</v>
      </c>
      <c r="Q157" s="409"/>
    </row>
    <row r="158" spans="3:17" ht="12.75">
      <c r="C158" s="397">
        <f>IF(D94="","-",+C157+1)</f>
        <v>2066</v>
      </c>
      <c r="D158" s="398">
        <f t="shared" si="12"/>
        <v>0</v>
      </c>
      <c r="E158" s="400">
        <f t="shared" si="6"/>
        <v>0</v>
      </c>
      <c r="F158" s="400">
        <f t="shared" si="8"/>
        <v>0</v>
      </c>
      <c r="G158" s="398">
        <f t="shared" si="5"/>
        <v>0</v>
      </c>
      <c r="H158" s="401">
        <f>+J95*G158+E158</f>
        <v>0</v>
      </c>
      <c r="I158" s="390">
        <f>+J96*G158+E158</f>
        <v>0</v>
      </c>
      <c r="J158" s="402">
        <f t="shared" si="7"/>
        <v>0</v>
      </c>
      <c r="K158" s="402"/>
      <c r="L158" s="790"/>
      <c r="M158" s="402">
        <f t="shared" si="9"/>
        <v>0</v>
      </c>
      <c r="N158" s="790"/>
      <c r="O158" s="402">
        <f t="shared" si="10"/>
        <v>0</v>
      </c>
      <c r="P158" s="402">
        <f t="shared" si="11"/>
        <v>0</v>
      </c>
      <c r="Q158" s="409"/>
    </row>
    <row r="159" spans="3:17" ht="13.5" thickBot="1">
      <c r="C159" s="403">
        <f>IF(D94="","-",+C158+1)</f>
        <v>2067</v>
      </c>
      <c r="D159" s="404">
        <f t="shared" si="12"/>
        <v>0</v>
      </c>
      <c r="E159" s="405">
        <f t="shared" si="6"/>
        <v>0</v>
      </c>
      <c r="F159" s="405">
        <f t="shared" si="8"/>
        <v>0</v>
      </c>
      <c r="G159" s="404">
        <f t="shared" si="5"/>
        <v>0</v>
      </c>
      <c r="H159" s="406">
        <f>+J95*G159+E159</f>
        <v>0</v>
      </c>
      <c r="I159" s="406">
        <f>+J96*G159+E159</f>
        <v>0</v>
      </c>
      <c r="J159" s="408">
        <f t="shared" si="7"/>
        <v>0</v>
      </c>
      <c r="K159" s="402"/>
      <c r="L159" s="791"/>
      <c r="M159" s="408">
        <f t="shared" si="9"/>
        <v>0</v>
      </c>
      <c r="N159" s="791"/>
      <c r="O159" s="408">
        <f t="shared" si="10"/>
        <v>0</v>
      </c>
      <c r="P159" s="408">
        <f t="shared" si="11"/>
        <v>0</v>
      </c>
      <c r="Q159" s="409"/>
    </row>
    <row r="160" spans="3:17" ht="12.75">
      <c r="C160" s="398" t="s">
        <v>911</v>
      </c>
      <c r="D160" s="377"/>
      <c r="E160" s="377">
        <f>SUM(E100:E159)</f>
        <v>0</v>
      </c>
      <c r="F160" s="377"/>
      <c r="G160" s="377"/>
      <c r="H160" s="377">
        <f>SUM(H100:H159)</f>
        <v>0</v>
      </c>
      <c r="I160" s="377">
        <f>SUM(I100:I159)</f>
        <v>0</v>
      </c>
      <c r="J160" s="377">
        <f>SUM(J100:J159)</f>
        <v>0</v>
      </c>
      <c r="K160" s="377"/>
      <c r="L160" s="377"/>
      <c r="M160" s="377"/>
      <c r="N160" s="377"/>
      <c r="O160" s="377"/>
      <c r="Q160" s="377"/>
    </row>
    <row r="161" spans="4:17" ht="12.75">
      <c r="D161" s="353"/>
      <c r="E161" s="102"/>
      <c r="F161" s="102"/>
      <c r="G161" s="102"/>
      <c r="H161" s="102"/>
      <c r="I161" s="354"/>
      <c r="J161" s="354"/>
      <c r="K161" s="377"/>
      <c r="L161" s="354"/>
      <c r="M161" s="354"/>
      <c r="N161" s="354"/>
      <c r="O161" s="354"/>
      <c r="Q161" s="377"/>
    </row>
    <row r="162" spans="3:17" ht="12.75">
      <c r="C162" s="102" t="s">
        <v>317</v>
      </c>
      <c r="D162" s="353"/>
      <c r="E162" s="102"/>
      <c r="F162" s="102"/>
      <c r="G162" s="102"/>
      <c r="H162" s="102"/>
      <c r="I162" s="354"/>
      <c r="J162" s="354"/>
      <c r="K162" s="377"/>
      <c r="L162" s="354"/>
      <c r="M162" s="354"/>
      <c r="N162" s="354"/>
      <c r="O162" s="354"/>
      <c r="Q162" s="377"/>
    </row>
    <row r="163" spans="3:17" ht="12.75">
      <c r="C163" s="102"/>
      <c r="D163" s="353"/>
      <c r="E163" s="102"/>
      <c r="F163" s="102"/>
      <c r="G163" s="102"/>
      <c r="H163" s="102"/>
      <c r="I163" s="354"/>
      <c r="J163" s="354"/>
      <c r="K163" s="377"/>
      <c r="L163" s="354"/>
      <c r="M163" s="354"/>
      <c r="N163" s="354"/>
      <c r="O163" s="354"/>
      <c r="Q163" s="377"/>
    </row>
    <row r="164" spans="3:17" ht="12.75">
      <c r="C164" s="1056" t="s">
        <v>318</v>
      </c>
      <c r="D164" s="398"/>
      <c r="E164" s="398"/>
      <c r="F164" s="398"/>
      <c r="G164" s="398"/>
      <c r="H164" s="377"/>
      <c r="I164" s="377"/>
      <c r="J164" s="409"/>
      <c r="K164" s="409"/>
      <c r="L164" s="409"/>
      <c r="M164" s="409"/>
      <c r="N164" s="409"/>
      <c r="O164" s="409"/>
      <c r="Q164" s="409"/>
    </row>
    <row r="165" spans="3:17" ht="12.75">
      <c r="C165" s="413" t="s">
        <v>213</v>
      </c>
      <c r="D165" s="398"/>
      <c r="E165" s="398"/>
      <c r="F165" s="398"/>
      <c r="G165" s="398"/>
      <c r="H165" s="377"/>
      <c r="I165" s="377"/>
      <c r="J165" s="409"/>
      <c r="K165" s="409"/>
      <c r="L165" s="409"/>
      <c r="M165" s="409"/>
      <c r="N165" s="409"/>
      <c r="O165" s="409"/>
      <c r="Q165" s="409"/>
    </row>
    <row r="166" spans="3:17" ht="12.75">
      <c r="C166" s="413" t="s">
        <v>912</v>
      </c>
      <c r="D166" s="398"/>
      <c r="E166" s="398"/>
      <c r="F166" s="398"/>
      <c r="G166" s="398"/>
      <c r="H166" s="377"/>
      <c r="I166" s="377"/>
      <c r="J166" s="409"/>
      <c r="K166" s="409"/>
      <c r="L166" s="409"/>
      <c r="M166" s="409"/>
      <c r="N166" s="409"/>
      <c r="O166" s="409"/>
      <c r="Q166" s="409"/>
    </row>
  </sheetData>
  <sheetProtection/>
  <mergeCells count="10">
    <mergeCell ref="L93:O93"/>
    <mergeCell ref="A1:P1"/>
    <mergeCell ref="C9:I10"/>
    <mergeCell ref="A2:P2"/>
    <mergeCell ref="A3:P3"/>
    <mergeCell ref="A4:P4"/>
    <mergeCell ref="C47:D48"/>
    <mergeCell ref="C56:D57"/>
    <mergeCell ref="C67:D68"/>
    <mergeCell ref="J76:P79"/>
  </mergeCells>
  <conditionalFormatting sqref="C100:C159">
    <cfRule type="cellIs" priority="1" dxfId="1" operator="equal" stopIfTrue="1">
      <formula>$J$93</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 manualBreakCount="1">
    <brk id="79"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P65"/>
  <sheetViews>
    <sheetView zoomScaleSheetLayoutView="70" zoomScalePageLayoutView="0" workbookViewId="0" topLeftCell="A1">
      <selection activeCell="E22" sqref="E22"/>
    </sheetView>
  </sheetViews>
  <sheetFormatPr defaultColWidth="9.140625" defaultRowHeight="12.75"/>
  <cols>
    <col min="1" max="1" width="9.140625" style="161" customWidth="1"/>
    <col min="2" max="2" width="40.140625" style="540" customWidth="1"/>
    <col min="3" max="3" width="31.57421875" style="537" customWidth="1"/>
    <col min="4" max="4" width="14.8515625" style="537" customWidth="1"/>
    <col min="5" max="5" width="18.00390625" style="537" customWidth="1"/>
    <col min="6" max="16384" width="9.140625" style="537" customWidth="1"/>
  </cols>
  <sheetData>
    <row r="1" spans="2:5" ht="15">
      <c r="B1" s="1207" t="str">
        <f>'Historic TCOS'!$F$3</f>
        <v>AEPTCo subsidiaries in PJM</v>
      </c>
      <c r="C1" s="1207" t="str">
        <f>'Historic TCOS'!$F$3</f>
        <v>AEPTCo subsidiaries in PJM</v>
      </c>
      <c r="D1" s="1207" t="str">
        <f>'Historic TCOS'!$F$3</f>
        <v>AEPTCo subsidiaries in PJM</v>
      </c>
      <c r="E1" s="1207" t="str">
        <f>'Historic TCOS'!$F$3</f>
        <v>AEPTCo subsidiaries in PJM</v>
      </c>
    </row>
    <row r="2" spans="2:5" ht="15">
      <c r="B2" s="1206" t="str">
        <f>"Cost of Service Formula Rate Using "&amp;'Historic TCOS'!O1&amp;" FF1 Balances"</f>
        <v>Cost of Service Formula Rate Using 2014 FF1 Balances</v>
      </c>
      <c r="C2" s="1206"/>
      <c r="D2" s="1206"/>
      <c r="E2" s="1206"/>
    </row>
    <row r="3" spans="2:5" ht="15">
      <c r="B3" s="1207" t="s">
        <v>279</v>
      </c>
      <c r="C3" s="1207"/>
      <c r="D3" s="1207"/>
      <c r="E3" s="1207"/>
    </row>
    <row r="4" spans="2:5" ht="15">
      <c r="B4" s="1210" t="str">
        <f>+'Historic TCOS'!F7</f>
        <v>AEP KENTUCKY TRANSMISSION COMPANY</v>
      </c>
      <c r="C4" s="1207"/>
      <c r="D4" s="1207"/>
      <c r="E4" s="1207"/>
    </row>
    <row r="6" spans="2:4" ht="18.75" customHeight="1">
      <c r="B6" s="137" t="s">
        <v>319</v>
      </c>
      <c r="C6" s="485"/>
      <c r="D6" s="539"/>
    </row>
    <row r="7" spans="2:4" ht="13.5">
      <c r="B7" s="538"/>
      <c r="C7" s="485"/>
      <c r="D7" s="539"/>
    </row>
    <row r="8" spans="2:16" ht="17.25">
      <c r="B8" s="110" t="s">
        <v>601</v>
      </c>
      <c r="C8" s="110" t="s">
        <v>602</v>
      </c>
      <c r="D8" s="110" t="s">
        <v>603</v>
      </c>
      <c r="E8" s="110" t="s">
        <v>604</v>
      </c>
      <c r="F8" s="496"/>
      <c r="G8" s="496"/>
      <c r="H8" s="496"/>
      <c r="I8" s="496"/>
      <c r="J8" s="496"/>
      <c r="K8" s="496"/>
      <c r="L8" s="496"/>
      <c r="M8" s="496"/>
      <c r="N8" s="582"/>
      <c r="O8" s="582"/>
      <c r="P8" s="582"/>
    </row>
    <row r="9" spans="1:3" ht="12.75">
      <c r="A9" s="1209" t="s">
        <v>187</v>
      </c>
      <c r="B9" s="538"/>
      <c r="C9" s="539"/>
    </row>
    <row r="10" spans="1:5" ht="12.75">
      <c r="A10" s="1240"/>
      <c r="B10" s="114" t="s">
        <v>214</v>
      </c>
      <c r="C10" s="114" t="s">
        <v>320</v>
      </c>
      <c r="D10" s="114" t="s">
        <v>215</v>
      </c>
      <c r="E10" s="114" t="s">
        <v>216</v>
      </c>
    </row>
    <row r="11" spans="1:5" ht="12.75">
      <c r="A11" s="877"/>
      <c r="C11" s="114"/>
      <c r="D11" s="115"/>
      <c r="E11" s="1239" t="s">
        <v>235</v>
      </c>
    </row>
    <row r="12" spans="1:5" ht="12.75">
      <c r="A12" s="877"/>
      <c r="C12" s="114"/>
      <c r="D12" s="115"/>
      <c r="E12" s="1239"/>
    </row>
    <row r="13" spans="1:13" ht="12.75">
      <c r="A13" s="877">
        <v>1</v>
      </c>
      <c r="B13" s="1110" t="s">
        <v>170</v>
      </c>
      <c r="C13" s="1111"/>
      <c r="D13" s="1112"/>
      <c r="E13" s="111"/>
      <c r="F13" s="111"/>
      <c r="G13" s="111"/>
      <c r="H13" s="111"/>
      <c r="I13" s="111"/>
      <c r="J13" s="111"/>
      <c r="K13" s="111"/>
      <c r="L13" s="111"/>
      <c r="M13" s="111"/>
    </row>
    <row r="14" spans="1:5" ht="12.75">
      <c r="A14" s="877">
        <f>+A13+1</f>
        <v>2</v>
      </c>
      <c r="B14" s="1113" t="s">
        <v>167</v>
      </c>
      <c r="C14" s="1114"/>
      <c r="D14" s="1114"/>
      <c r="E14" s="611">
        <f>C14*D14</f>
        <v>0</v>
      </c>
    </row>
    <row r="15" spans="1:5" ht="12.75" customHeight="1">
      <c r="A15" s="877">
        <f>+A14+1</f>
        <v>3</v>
      </c>
      <c r="B15" s="1115"/>
      <c r="C15" s="1114"/>
      <c r="D15" s="1116"/>
      <c r="E15" s="611">
        <f>+C15*D15</f>
        <v>0</v>
      </c>
    </row>
    <row r="16" spans="1:5" ht="12.75">
      <c r="A16" s="877">
        <f>+A15+1</f>
        <v>4</v>
      </c>
      <c r="B16" s="1117"/>
      <c r="C16" s="1118"/>
      <c r="D16" s="1119"/>
      <c r="E16" s="611">
        <f>+C16*D16</f>
        <v>0</v>
      </c>
    </row>
    <row r="17" spans="1:5" ht="12.75">
      <c r="A17" s="877">
        <f>+A16+1</f>
        <v>5</v>
      </c>
      <c r="B17" s="1120"/>
      <c r="C17" s="1078"/>
      <c r="D17" s="1121"/>
      <c r="E17" s="611">
        <f>+C17*D17</f>
        <v>0</v>
      </c>
    </row>
    <row r="18" spans="1:5" ht="12.75">
      <c r="A18" s="877">
        <f aca="true" t="shared" si="0" ref="A18:A39">+A17+1</f>
        <v>6</v>
      </c>
      <c r="B18" s="1113" t="s">
        <v>169</v>
      </c>
      <c r="C18" s="1078"/>
      <c r="D18" s="1121"/>
      <c r="E18" s="611">
        <f aca="true" t="shared" si="1" ref="E18:E26">+C18*D18</f>
        <v>0</v>
      </c>
    </row>
    <row r="19" spans="1:5" ht="12.75">
      <c r="A19" s="877">
        <f t="shared" si="0"/>
        <v>7</v>
      </c>
      <c r="B19" s="1120"/>
      <c r="C19" s="1078"/>
      <c r="D19" s="1121"/>
      <c r="E19" s="611">
        <f t="shared" si="1"/>
        <v>0</v>
      </c>
    </row>
    <row r="20" spans="1:5" ht="12.75">
      <c r="A20" s="877">
        <f t="shared" si="0"/>
        <v>8</v>
      </c>
      <c r="B20" s="1120"/>
      <c r="C20" s="1078"/>
      <c r="D20" s="1121"/>
      <c r="E20" s="611">
        <f t="shared" si="1"/>
        <v>0</v>
      </c>
    </row>
    <row r="21" spans="1:5" ht="12.75">
      <c r="A21" s="877">
        <f t="shared" si="0"/>
        <v>9</v>
      </c>
      <c r="B21" s="1120"/>
      <c r="C21" s="1078"/>
      <c r="D21" s="1121"/>
      <c r="E21" s="611">
        <f t="shared" si="1"/>
        <v>0</v>
      </c>
    </row>
    <row r="22" spans="1:5" ht="12.75">
      <c r="A22" s="877">
        <f t="shared" si="0"/>
        <v>10</v>
      </c>
      <c r="B22" s="1113" t="s">
        <v>168</v>
      </c>
      <c r="C22" s="1078"/>
      <c r="D22" s="1121"/>
      <c r="E22" s="611">
        <f>+C22*D22</f>
        <v>0</v>
      </c>
    </row>
    <row r="23" spans="1:5" ht="12.75">
      <c r="A23" s="877">
        <f t="shared" si="0"/>
        <v>11</v>
      </c>
      <c r="B23" s="1120" t="s">
        <v>1038</v>
      </c>
      <c r="C23" s="1078">
        <v>4000000</v>
      </c>
      <c r="D23" s="1121">
        <v>0.0405</v>
      </c>
      <c r="E23" s="611">
        <f t="shared" si="1"/>
        <v>162000</v>
      </c>
    </row>
    <row r="24" spans="1:5" ht="12.75">
      <c r="A24" s="877">
        <f t="shared" si="0"/>
        <v>12</v>
      </c>
      <c r="B24" s="1120"/>
      <c r="C24" s="1078"/>
      <c r="D24" s="1121"/>
      <c r="E24" s="611">
        <f t="shared" si="1"/>
        <v>0</v>
      </c>
    </row>
    <row r="25" spans="1:5" ht="12.75" customHeight="1">
      <c r="A25" s="877">
        <f t="shared" si="0"/>
        <v>13</v>
      </c>
      <c r="B25" s="1122"/>
      <c r="C25" s="1078"/>
      <c r="D25" s="1121"/>
      <c r="E25" s="611">
        <f t="shared" si="1"/>
        <v>0</v>
      </c>
    </row>
    <row r="26" spans="1:5" ht="12.75" customHeight="1">
      <c r="A26" s="877">
        <f t="shared" si="0"/>
        <v>14</v>
      </c>
      <c r="B26" s="1123" t="s">
        <v>493</v>
      </c>
      <c r="C26" s="1078"/>
      <c r="D26" s="1121"/>
      <c r="E26" s="611">
        <f t="shared" si="1"/>
        <v>0</v>
      </c>
    </row>
    <row r="27" spans="1:5" ht="12.75" customHeight="1">
      <c r="A27" s="877"/>
      <c r="B27" s="1124"/>
      <c r="C27" s="1125"/>
      <c r="D27" s="1126"/>
      <c r="E27" s="611"/>
    </row>
    <row r="28" spans="1:5" ht="12.75" customHeight="1">
      <c r="A28" s="877">
        <f>+A26+1</f>
        <v>15</v>
      </c>
      <c r="B28" s="1127"/>
      <c r="C28" s="1128"/>
      <c r="D28" s="1129"/>
      <c r="E28" s="611">
        <f aca="true" t="shared" si="2" ref="E28:E38">+C28*D28</f>
        <v>0</v>
      </c>
    </row>
    <row r="29" spans="1:5" ht="12.75" customHeight="1">
      <c r="A29" s="877">
        <f t="shared" si="0"/>
        <v>16</v>
      </c>
      <c r="B29" s="1127"/>
      <c r="C29" s="1128"/>
      <c r="D29" s="1129"/>
      <c r="E29" s="611">
        <f t="shared" si="2"/>
        <v>0</v>
      </c>
    </row>
    <row r="30" spans="1:5" ht="12.75" customHeight="1">
      <c r="A30" s="877">
        <f t="shared" si="0"/>
        <v>17</v>
      </c>
      <c r="B30" s="1127"/>
      <c r="C30" s="1128"/>
      <c r="D30" s="1129"/>
      <c r="E30" s="611">
        <f t="shared" si="2"/>
        <v>0</v>
      </c>
    </row>
    <row r="31" spans="1:5" ht="12.75" customHeight="1">
      <c r="A31" s="877">
        <f t="shared" si="0"/>
        <v>18</v>
      </c>
      <c r="B31" s="1127"/>
      <c r="C31" s="1128"/>
      <c r="D31" s="1129"/>
      <c r="E31" s="611">
        <f t="shared" si="2"/>
        <v>0</v>
      </c>
    </row>
    <row r="32" spans="1:5" ht="12.75" customHeight="1">
      <c r="A32" s="877">
        <f t="shared" si="0"/>
        <v>19</v>
      </c>
      <c r="B32" s="1127"/>
      <c r="C32" s="1128"/>
      <c r="D32" s="1129"/>
      <c r="E32" s="611">
        <f t="shared" si="2"/>
        <v>0</v>
      </c>
    </row>
    <row r="33" spans="1:5" ht="12.75" customHeight="1">
      <c r="A33" s="877">
        <f t="shared" si="0"/>
        <v>20</v>
      </c>
      <c r="B33" s="1127"/>
      <c r="C33" s="1128"/>
      <c r="D33" s="1129"/>
      <c r="E33" s="611">
        <f t="shared" si="2"/>
        <v>0</v>
      </c>
    </row>
    <row r="34" spans="1:5" ht="12.75" customHeight="1">
      <c r="A34" s="877">
        <f t="shared" si="0"/>
        <v>21</v>
      </c>
      <c r="B34" s="1127"/>
      <c r="C34" s="1128"/>
      <c r="D34" s="1129"/>
      <c r="E34" s="611">
        <f t="shared" si="2"/>
        <v>0</v>
      </c>
    </row>
    <row r="35" spans="1:5" ht="12.75" customHeight="1">
      <c r="A35" s="877">
        <f t="shared" si="0"/>
        <v>22</v>
      </c>
      <c r="B35" s="1127"/>
      <c r="C35" s="1128"/>
      <c r="D35" s="1129"/>
      <c r="E35" s="611">
        <f t="shared" si="2"/>
        <v>0</v>
      </c>
    </row>
    <row r="36" spans="1:5" ht="12.75" customHeight="1">
      <c r="A36" s="877">
        <f t="shared" si="0"/>
        <v>23</v>
      </c>
      <c r="B36" s="1127"/>
      <c r="C36" s="1128"/>
      <c r="D36" s="1129"/>
      <c r="E36" s="611">
        <f t="shared" si="2"/>
        <v>0</v>
      </c>
    </row>
    <row r="37" spans="1:5" ht="12.75" customHeight="1">
      <c r="A37" s="877">
        <f t="shared" si="0"/>
        <v>24</v>
      </c>
      <c r="B37" s="1127"/>
      <c r="C37" s="1128"/>
      <c r="D37" s="1121"/>
      <c r="E37" s="611">
        <f t="shared" si="2"/>
        <v>0</v>
      </c>
    </row>
    <row r="38" spans="1:5" ht="12.75" customHeight="1">
      <c r="A38" s="877">
        <f t="shared" si="0"/>
        <v>25</v>
      </c>
      <c r="B38" s="1127"/>
      <c r="C38" s="1128"/>
      <c r="D38" s="1121"/>
      <c r="E38" s="611">
        <f t="shared" si="2"/>
        <v>0</v>
      </c>
    </row>
    <row r="39" spans="1:9" ht="12.75" customHeight="1">
      <c r="A39" s="877">
        <f t="shared" si="0"/>
        <v>26</v>
      </c>
      <c r="B39" s="660" t="s">
        <v>171</v>
      </c>
      <c r="C39" s="1130"/>
      <c r="D39" s="923">
        <f>IF(E39=0,0,+E39/C39)</f>
        <v>0</v>
      </c>
      <c r="E39" s="1131">
        <v>0</v>
      </c>
      <c r="F39" s="111"/>
      <c r="G39" s="111"/>
      <c r="H39" s="111"/>
      <c r="I39" s="111"/>
    </row>
    <row r="40" spans="1:9" ht="12.75" customHeight="1">
      <c r="A40" s="877"/>
      <c r="B40" s="615"/>
      <c r="C40" s="615"/>
      <c r="D40" s="615"/>
      <c r="E40" s="615"/>
      <c r="F40" s="111"/>
      <c r="G40" s="111"/>
      <c r="H40" s="111"/>
      <c r="I40" s="111"/>
    </row>
    <row r="41" spans="1:5" ht="12.75" customHeight="1">
      <c r="A41" s="877">
        <f>+A39+1</f>
        <v>27</v>
      </c>
      <c r="B41" s="610" t="s">
        <v>141</v>
      </c>
      <c r="C41" s="411"/>
      <c r="D41" s="609"/>
      <c r="E41" s="611"/>
    </row>
    <row r="42" spans="1:5" ht="12.75" customHeight="1">
      <c r="A42" s="877">
        <f>+A41+1</f>
        <v>28</v>
      </c>
      <c r="B42" s="613" t="s">
        <v>236</v>
      </c>
      <c r="C42" s="608" t="s">
        <v>237</v>
      </c>
      <c r="D42" s="609"/>
      <c r="E42" s="1131">
        <v>0</v>
      </c>
    </row>
    <row r="43" spans="1:5" ht="12.75" customHeight="1">
      <c r="A43" s="877"/>
      <c r="B43" s="613"/>
      <c r="C43" s="608"/>
      <c r="D43" s="609"/>
      <c r="E43" s="675"/>
    </row>
    <row r="44" spans="1:7" ht="12.75" customHeight="1">
      <c r="A44" s="877">
        <f>+A42+1</f>
        <v>29</v>
      </c>
      <c r="B44" s="613" t="s">
        <v>221</v>
      </c>
      <c r="C44" s="608" t="s">
        <v>142</v>
      </c>
      <c r="D44" s="609"/>
      <c r="E44" s="1131">
        <v>107</v>
      </c>
      <c r="F44" s="111"/>
      <c r="G44" s="111"/>
    </row>
    <row r="45" spans="1:5" ht="12.75" customHeight="1">
      <c r="A45" s="978">
        <f>+A44+1</f>
        <v>30</v>
      </c>
      <c r="B45" s="613" t="s">
        <v>165</v>
      </c>
      <c r="C45" s="608" t="s">
        <v>140</v>
      </c>
      <c r="D45" s="609"/>
      <c r="E45" s="1131">
        <v>0</v>
      </c>
    </row>
    <row r="46" spans="1:5" ht="12.75" customHeight="1">
      <c r="A46" s="978"/>
      <c r="B46" s="613"/>
      <c r="C46" s="411"/>
      <c r="D46" s="609"/>
      <c r="E46" s="611"/>
    </row>
    <row r="47" spans="1:5" ht="12.75" customHeight="1">
      <c r="A47" s="978">
        <f>+A45+1</f>
        <v>31</v>
      </c>
      <c r="B47" s="610" t="s">
        <v>222</v>
      </c>
      <c r="C47" s="411"/>
      <c r="D47" s="609"/>
      <c r="E47" s="611"/>
    </row>
    <row r="48" spans="1:6" ht="12.75" customHeight="1">
      <c r="A48" s="978">
        <f>+A47+1</f>
        <v>32</v>
      </c>
      <c r="B48" s="613" t="s">
        <v>109</v>
      </c>
      <c r="C48" s="608" t="s">
        <v>143</v>
      </c>
      <c r="D48" s="609"/>
      <c r="E48" s="1131">
        <v>0</v>
      </c>
      <c r="F48" s="111"/>
    </row>
    <row r="49" spans="1:6" ht="12.75" customHeight="1">
      <c r="A49" s="978">
        <f>+A48+1</f>
        <v>33</v>
      </c>
      <c r="B49" s="150" t="s">
        <v>166</v>
      </c>
      <c r="C49" s="608" t="s">
        <v>144</v>
      </c>
      <c r="D49" s="609"/>
      <c r="E49" s="1131">
        <v>0</v>
      </c>
      <c r="F49" s="111"/>
    </row>
    <row r="50" spans="1:5" ht="12.75" customHeight="1">
      <c r="A50" s="978"/>
      <c r="B50" s="542" t="s">
        <v>555</v>
      </c>
      <c r="C50" s="539"/>
      <c r="E50" s="543"/>
    </row>
    <row r="51" spans="1:5" ht="12.75" customHeight="1">
      <c r="A51" s="978">
        <f>+A49+1</f>
        <v>34</v>
      </c>
      <c r="B51" s="166" t="s">
        <v>223</v>
      </c>
      <c r="C51" s="990">
        <f>SUM(C13:C39)</f>
        <v>4000000</v>
      </c>
      <c r="D51" s="923">
        <f>IF(E51=0,0,+E51/C51)</f>
        <v>0.04052675</v>
      </c>
      <c r="E51" s="991">
        <f>SUM(E13:E44)-E45+E48-E49</f>
        <v>162107</v>
      </c>
    </row>
    <row r="52" spans="1:5" ht="12.75" customHeight="1">
      <c r="A52" s="978"/>
      <c r="B52" s="538"/>
      <c r="C52" s="544"/>
      <c r="E52" s="545"/>
    </row>
    <row r="53" spans="1:7" ht="12.75" customHeight="1">
      <c r="A53" s="978">
        <f>+A51+1</f>
        <v>35</v>
      </c>
      <c r="B53" s="541" t="s">
        <v>145</v>
      </c>
      <c r="C53" s="114" t="s">
        <v>224</v>
      </c>
      <c r="D53" s="539"/>
      <c r="F53" s="980"/>
      <c r="G53" s="980"/>
    </row>
    <row r="54" spans="1:7" ht="12.75">
      <c r="A54" s="978">
        <f>+A53+1</f>
        <v>36</v>
      </c>
      <c r="B54" s="1120"/>
      <c r="C54" s="1078"/>
      <c r="D54" s="1132"/>
      <c r="E54" s="611">
        <f aca="true" t="shared" si="3" ref="E54:E61">+C54*D54</f>
        <v>0</v>
      </c>
      <c r="F54" s="980"/>
      <c r="G54" s="980"/>
    </row>
    <row r="55" spans="1:5" ht="12.75">
      <c r="A55" s="978">
        <f>+A54+1</f>
        <v>37</v>
      </c>
      <c r="B55" s="1120"/>
      <c r="C55" s="1128"/>
      <c r="D55" s="1132"/>
      <c r="E55" s="611">
        <f t="shared" si="3"/>
        <v>0</v>
      </c>
    </row>
    <row r="56" spans="1:5" ht="12.75">
      <c r="A56" s="978">
        <f aca="true" t="shared" si="4" ref="A56:A61">+A55+1</f>
        <v>38</v>
      </c>
      <c r="B56" s="1120"/>
      <c r="C56" s="1128"/>
      <c r="D56" s="1132"/>
      <c r="E56" s="611">
        <f t="shared" si="3"/>
        <v>0</v>
      </c>
    </row>
    <row r="57" spans="1:5" ht="12.75">
      <c r="A57" s="978">
        <f t="shared" si="4"/>
        <v>39</v>
      </c>
      <c r="B57" s="1120"/>
      <c r="C57" s="1128"/>
      <c r="D57" s="1132"/>
      <c r="E57" s="611">
        <f t="shared" si="3"/>
        <v>0</v>
      </c>
    </row>
    <row r="58" spans="1:5" ht="12.75">
      <c r="A58" s="978">
        <f t="shared" si="4"/>
        <v>40</v>
      </c>
      <c r="B58" s="1120"/>
      <c r="C58" s="1128"/>
      <c r="D58" s="1132"/>
      <c r="E58" s="611">
        <f t="shared" si="3"/>
        <v>0</v>
      </c>
    </row>
    <row r="59" spans="1:5" ht="12.75">
      <c r="A59" s="978">
        <f t="shared" si="4"/>
        <v>41</v>
      </c>
      <c r="B59" s="1120"/>
      <c r="C59" s="1128"/>
      <c r="D59" s="1132"/>
      <c r="E59" s="611">
        <f t="shared" si="3"/>
        <v>0</v>
      </c>
    </row>
    <row r="60" spans="1:5" ht="12.75">
      <c r="A60" s="978">
        <f t="shared" si="4"/>
        <v>42</v>
      </c>
      <c r="B60" s="1120"/>
      <c r="C60" s="1128"/>
      <c r="D60" s="1132"/>
      <c r="E60" s="611">
        <f t="shared" si="3"/>
        <v>0</v>
      </c>
    </row>
    <row r="61" spans="1:5" ht="12.75">
      <c r="A61" s="978">
        <f t="shared" si="4"/>
        <v>43</v>
      </c>
      <c r="B61" s="1120"/>
      <c r="C61" s="1128"/>
      <c r="D61" s="1132"/>
      <c r="E61" s="611">
        <f t="shared" si="3"/>
        <v>0</v>
      </c>
    </row>
    <row r="62" ht="12.75">
      <c r="A62" s="978"/>
    </row>
    <row r="63" spans="1:5" ht="12.75">
      <c r="A63" s="978">
        <f>+A61+1</f>
        <v>44</v>
      </c>
      <c r="B63" s="166" t="s">
        <v>225</v>
      </c>
      <c r="C63" s="614">
        <f>SUM(C54:C61)</f>
        <v>0</v>
      </c>
      <c r="D63" s="923">
        <f>IF(E63=0,0,+E63/C63)</f>
        <v>0</v>
      </c>
      <c r="E63" s="614">
        <f>SUM(E54:E61)</f>
        <v>0</v>
      </c>
    </row>
    <row r="64" ht="12.75">
      <c r="A64" s="979"/>
    </row>
    <row r="65" spans="2:4" ht="12.75">
      <c r="B65" s="667" t="s">
        <v>110</v>
      </c>
      <c r="C65" s="111"/>
      <c r="D65" s="111"/>
    </row>
  </sheetData>
  <sheetProtection/>
  <mergeCells count="6">
    <mergeCell ref="E11:E12"/>
    <mergeCell ref="A9:A10"/>
    <mergeCell ref="B4:E4"/>
    <mergeCell ref="B1:E1"/>
    <mergeCell ref="B2:E2"/>
    <mergeCell ref="B3:E3"/>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80"/>
  <sheetViews>
    <sheetView zoomScale="85" zoomScaleNormal="85" zoomScalePageLayoutView="0" workbookViewId="0" topLeftCell="A1">
      <selection activeCell="E22" sqref="E22"/>
    </sheetView>
  </sheetViews>
  <sheetFormatPr defaultColWidth="9.140625" defaultRowHeight="12.75"/>
  <cols>
    <col min="1" max="1" width="5.57421875" style="111" customWidth="1"/>
    <col min="2" max="2" width="49.57421875" style="152" customWidth="1"/>
    <col min="3" max="3" width="21.28125" style="111" customWidth="1"/>
    <col min="4" max="4" width="17.57421875" style="111" customWidth="1"/>
    <col min="5" max="5" width="19.00390625" style="111" bestFit="1" customWidth="1"/>
    <col min="6" max="6" width="14.57421875" style="111" customWidth="1"/>
    <col min="7" max="7" width="14.28125" style="111" customWidth="1"/>
    <col min="8" max="8" width="11.28125" style="537" customWidth="1"/>
    <col min="9" max="16384" width="9.140625" style="537" customWidth="1"/>
  </cols>
  <sheetData>
    <row r="1" spans="1:5" ht="15">
      <c r="A1" s="1207" t="str">
        <f>'Historic TCOS'!$F$3</f>
        <v>AEPTCo subsidiaries in PJM</v>
      </c>
      <c r="B1" s="1207" t="str">
        <f>'Historic TCOS'!$F$3</f>
        <v>AEPTCo subsidiaries in PJM</v>
      </c>
      <c r="C1" s="1207" t="str">
        <f>'Historic TCOS'!$F$3</f>
        <v>AEPTCo subsidiaries in PJM</v>
      </c>
      <c r="D1" s="1207" t="str">
        <f>'Historic TCOS'!$F$3</f>
        <v>AEPTCo subsidiaries in PJM</v>
      </c>
      <c r="E1" s="1207" t="str">
        <f>'Historic TCOS'!$F$3</f>
        <v>AEPTCo subsidiaries in PJM</v>
      </c>
    </row>
    <row r="2" spans="1:5" ht="15">
      <c r="A2" s="1206" t="s">
        <v>63</v>
      </c>
      <c r="B2" s="1206"/>
      <c r="C2" s="1206"/>
      <c r="D2" s="1206"/>
      <c r="E2" s="1206"/>
    </row>
    <row r="3" spans="1:5" ht="12.75">
      <c r="A3" s="1242" t="str">
        <f>'Historic TCOS'!F7</f>
        <v>AEP KENTUCKY TRANSMISSION COMPANY</v>
      </c>
      <c r="B3" s="1242"/>
      <c r="C3" s="1242"/>
      <c r="D3" s="1242"/>
      <c r="E3" s="1242"/>
    </row>
    <row r="4" spans="1:5" ht="54.75" customHeight="1">
      <c r="A4" s="1241" t="str">
        <f>"Worksheet M Supporting Calculation of Capital Structure and Weighted Average Cost of Capital Based on Average of Balances At 12/31/"&amp;'Historic TCOS'!O1-1&amp;" &amp; 12/31/"&amp;'Historic TCOS'!O1&amp;""</f>
        <v>Worksheet M Supporting Calculation of Capital Structure and Weighted Average Cost of Capital Based on Average of Balances At 12/31/2013 &amp; 12/31/2014</v>
      </c>
      <c r="B4" s="1167"/>
      <c r="C4" s="1167"/>
      <c r="D4" s="1167"/>
      <c r="E4" s="1167"/>
    </row>
    <row r="5" spans="1:6" ht="9.75" customHeight="1">
      <c r="A5" s="320"/>
      <c r="B5" s="1206"/>
      <c r="C5" s="1206"/>
      <c r="D5" s="1206"/>
      <c r="E5" s="1206"/>
      <c r="F5" s="1206"/>
    </row>
    <row r="6" spans="1:6" ht="19.5" customHeight="1">
      <c r="A6" s="654" t="s">
        <v>601</v>
      </c>
      <c r="B6" s="654" t="s">
        <v>602</v>
      </c>
      <c r="C6" s="654" t="s">
        <v>368</v>
      </c>
      <c r="D6" s="654" t="s">
        <v>604</v>
      </c>
      <c r="E6" s="654" t="s">
        <v>522</v>
      </c>
      <c r="F6" s="655"/>
    </row>
    <row r="7" spans="1:7" ht="18.75" customHeight="1">
      <c r="A7" s="537"/>
      <c r="B7" s="651"/>
      <c r="C7" s="262" t="s">
        <v>1</v>
      </c>
      <c r="D7" s="262" t="s">
        <v>1</v>
      </c>
      <c r="E7" s="651"/>
      <c r="F7" s="651"/>
      <c r="G7" s="656"/>
    </row>
    <row r="8" spans="1:6" ht="12.75" customHeight="1">
      <c r="A8" s="115" t="s">
        <v>608</v>
      </c>
      <c r="B8" s="651"/>
      <c r="C8" s="476" t="str">
        <f>"12/31/"&amp;'Historic TCOS'!O1</f>
        <v>12/31/2014</v>
      </c>
      <c r="D8" s="476" t="str">
        <f>"12/31/"&amp;'Historic TCOS'!O1-1</f>
        <v>12/31/2013</v>
      </c>
      <c r="E8" s="657" t="s">
        <v>294</v>
      </c>
      <c r="F8" s="651"/>
    </row>
    <row r="9" spans="1:9" ht="12.75" customHeight="1">
      <c r="A9" s="658" t="s">
        <v>369</v>
      </c>
      <c r="C9" s="659"/>
      <c r="D9" s="659"/>
      <c r="E9" s="146"/>
      <c r="F9" s="29"/>
      <c r="G9" s="29"/>
      <c r="H9" s="29"/>
      <c r="I9" s="122"/>
    </row>
    <row r="10" spans="1:9" ht="12.75" customHeight="1">
      <c r="A10" s="357"/>
      <c r="B10" s="660"/>
      <c r="C10" s="659"/>
      <c r="D10" s="659"/>
      <c r="E10" s="146"/>
      <c r="F10" s="29"/>
      <c r="G10" s="29"/>
      <c r="H10" s="29"/>
      <c r="I10" s="122"/>
    </row>
    <row r="11" spans="1:11" ht="12.75" customHeight="1">
      <c r="A11" s="357">
        <v>1</v>
      </c>
      <c r="B11" s="659" t="s">
        <v>432</v>
      </c>
      <c r="C11" s="1079">
        <v>6360215</v>
      </c>
      <c r="D11" s="1133">
        <v>5777069</v>
      </c>
      <c r="E11" s="661">
        <f>IF(C11=0,0,AVERAGE(C11:D11))</f>
        <v>6068642</v>
      </c>
      <c r="G11" s="981"/>
      <c r="H11" s="29"/>
      <c r="I11" s="111"/>
      <c r="J11" s="111"/>
      <c r="K11" s="111"/>
    </row>
    <row r="12" spans="1:11" ht="12.75" customHeight="1">
      <c r="A12" s="357">
        <f>+A11+1</f>
        <v>2</v>
      </c>
      <c r="B12" s="659" t="str">
        <f>"Less Preferred Stock (Ln "&amp;A77&amp;" Below)"</f>
        <v>Less Preferred Stock (Ln 48 Below)</v>
      </c>
      <c r="C12" s="356">
        <f>+C77</f>
        <v>0</v>
      </c>
      <c r="D12" s="356">
        <f>+D77</f>
        <v>0</v>
      </c>
      <c r="E12" s="661">
        <f>AVERAGE(C12:D12)</f>
        <v>0</v>
      </c>
      <c r="G12" s="981"/>
      <c r="H12" s="29"/>
      <c r="I12" s="111"/>
      <c r="J12" s="111"/>
      <c r="K12" s="111"/>
    </row>
    <row r="13" spans="1:11" ht="12.75" customHeight="1">
      <c r="A13" s="357">
        <f>+A12+1</f>
        <v>3</v>
      </c>
      <c r="B13" s="659" t="s">
        <v>433</v>
      </c>
      <c r="C13" s="1133">
        <v>0</v>
      </c>
      <c r="D13" s="1133">
        <v>0</v>
      </c>
      <c r="E13" s="661">
        <f>IF(C13=0,0,AVERAGE(C13:D13))</f>
        <v>0</v>
      </c>
      <c r="G13" s="981"/>
      <c r="H13" s="29"/>
      <c r="I13" s="111"/>
      <c r="J13" s="111"/>
      <c r="K13" s="111"/>
    </row>
    <row r="14" spans="1:11" ht="12.75" customHeight="1" thickBot="1">
      <c r="A14" s="357">
        <f>+A13+1</f>
        <v>4</v>
      </c>
      <c r="B14" s="659" t="s">
        <v>434</v>
      </c>
      <c r="C14" s="1134">
        <v>0</v>
      </c>
      <c r="D14" s="1134">
        <v>0</v>
      </c>
      <c r="E14" s="662">
        <f>IF(C14=0,0,AVERAGE(C14:D14))</f>
        <v>0</v>
      </c>
      <c r="G14" s="981"/>
      <c r="H14" s="29"/>
      <c r="I14" s="111"/>
      <c r="J14" s="111"/>
      <c r="K14" s="111"/>
    </row>
    <row r="15" spans="1:8" ht="12.75" customHeight="1">
      <c r="A15" s="663">
        <f>+A14+1</f>
        <v>5</v>
      </c>
      <c r="B15" s="664" t="s">
        <v>424</v>
      </c>
      <c r="C15" s="342">
        <f>+C11-C12-C13-C14</f>
        <v>6360215</v>
      </c>
      <c r="D15" s="342">
        <f>+D11-D12-D13-D14</f>
        <v>5777069</v>
      </c>
      <c r="E15" s="665">
        <f>+E11-E12-E13-E14</f>
        <v>6068642</v>
      </c>
      <c r="F15" s="659"/>
      <c r="G15" s="26"/>
      <c r="H15" s="26"/>
    </row>
    <row r="16" spans="3:4" ht="12.75" customHeight="1">
      <c r="C16" s="485"/>
      <c r="D16" s="613"/>
    </row>
    <row r="17" spans="1:4" ht="12.75" customHeight="1">
      <c r="A17" s="658" t="s">
        <v>425</v>
      </c>
      <c r="C17" s="485"/>
      <c r="D17" s="486"/>
    </row>
    <row r="18" spans="1:4" ht="12.75" customHeight="1">
      <c r="A18" s="357"/>
      <c r="B18" s="660"/>
      <c r="C18" s="110"/>
      <c r="D18" s="486"/>
    </row>
    <row r="19" spans="1:5" ht="12.75" customHeight="1">
      <c r="A19" s="357">
        <f>+A15+1</f>
        <v>6</v>
      </c>
      <c r="B19" s="666" t="s">
        <v>435</v>
      </c>
      <c r="C19" s="1135">
        <v>0</v>
      </c>
      <c r="D19" s="1136">
        <v>0</v>
      </c>
      <c r="E19" s="661">
        <f>IF(C19=0,0,AVERAGE(C19:D19))</f>
        <v>0</v>
      </c>
    </row>
    <row r="20" spans="1:5" ht="12.75" customHeight="1">
      <c r="A20" s="357">
        <f>+A19+1</f>
        <v>7</v>
      </c>
      <c r="B20" s="666" t="s">
        <v>436</v>
      </c>
      <c r="C20" s="1135">
        <v>0</v>
      </c>
      <c r="D20" s="1136">
        <v>0</v>
      </c>
      <c r="E20" s="661">
        <f>IF(C20=0,0,AVERAGE(C20:D20))</f>
        <v>0</v>
      </c>
    </row>
    <row r="21" spans="1:5" ht="12.75" customHeight="1">
      <c r="A21" s="357">
        <f>+A20+1</f>
        <v>8</v>
      </c>
      <c r="B21" s="802" t="s">
        <v>831</v>
      </c>
      <c r="C21" s="1135">
        <v>4000000</v>
      </c>
      <c r="D21" s="1135">
        <v>0</v>
      </c>
      <c r="E21" s="661">
        <f>IF(C21=0,0,AVERAGE(C21:D21))</f>
        <v>2000000</v>
      </c>
    </row>
    <row r="22" spans="1:5" ht="12.75" customHeight="1">
      <c r="A22" s="357">
        <f>+A21+1</f>
        <v>9</v>
      </c>
      <c r="B22" s="802" t="s">
        <v>437</v>
      </c>
      <c r="C22" s="1135">
        <v>0</v>
      </c>
      <c r="D22" s="1076">
        <v>0</v>
      </c>
      <c r="E22" s="777">
        <f>IF(C22=0,0,AVERAGE(C22:D22))</f>
        <v>0</v>
      </c>
    </row>
    <row r="23" spans="1:5" ht="12.75" customHeight="1" thickBot="1">
      <c r="A23" s="357">
        <f>+A22+1</f>
        <v>10</v>
      </c>
      <c r="B23" s="802" t="str">
        <f>"Less: Fair Value Hedges (See Note on Ln "&amp;A26&amp;" below)"</f>
        <v>Less: Fair Value Hedges (See Note on Ln 12 below)</v>
      </c>
      <c r="C23" s="1137"/>
      <c r="D23" s="1134"/>
      <c r="E23" s="662">
        <f>IF(C23=0,0,AVERAGE(C23:D23))</f>
        <v>0</v>
      </c>
    </row>
    <row r="24" spans="1:5" ht="12.75" customHeight="1">
      <c r="A24" s="663">
        <f>+A23+1</f>
        <v>11</v>
      </c>
      <c r="B24" s="667" t="s">
        <v>426</v>
      </c>
      <c r="C24" s="370">
        <f>+C19-C20+C21+C22-C23</f>
        <v>4000000</v>
      </c>
      <c r="D24" s="370">
        <f>+D19-D20+D21+D22-D23</f>
        <v>0</v>
      </c>
      <c r="E24" s="668">
        <f>IF(C24=D24=0,0,AVERAGE(C24:D24))</f>
        <v>2000000</v>
      </c>
    </row>
    <row r="25" spans="1:5" ht="12.75" customHeight="1">
      <c r="A25" s="663"/>
      <c r="B25" s="667"/>
      <c r="C25" s="370"/>
      <c r="D25" s="370"/>
      <c r="E25" s="668"/>
    </row>
    <row r="26" spans="1:5" ht="12.75" customHeight="1">
      <c r="A26" s="357">
        <f>+A24+1</f>
        <v>12</v>
      </c>
      <c r="B26" s="1247" t="s">
        <v>172</v>
      </c>
      <c r="C26" s="1172"/>
      <c r="D26" s="1172"/>
      <c r="E26" s="1172"/>
    </row>
    <row r="27" spans="1:5" ht="12.75" customHeight="1">
      <c r="A27" s="663"/>
      <c r="B27" s="1172"/>
      <c r="C27" s="1172"/>
      <c r="D27" s="1172"/>
      <c r="E27" s="1172"/>
    </row>
    <row r="28" spans="1:5" ht="12.75" customHeight="1">
      <c r="A28" s="357"/>
      <c r="B28" s="1172"/>
      <c r="C28" s="1172"/>
      <c r="D28" s="1172"/>
      <c r="E28" s="1172"/>
    </row>
    <row r="29" spans="1:4" ht="12.75" customHeight="1">
      <c r="A29" s="357">
        <f>+A26+1</f>
        <v>13</v>
      </c>
      <c r="B29" s="667" t="str">
        <f>"Annual Interest Expense for "&amp;'Historic TCOS'!O1</f>
        <v>Annual Interest Expense for 2014</v>
      </c>
      <c r="C29" s="608"/>
      <c r="D29" s="613"/>
    </row>
    <row r="30" spans="1:5" ht="12.75" customHeight="1">
      <c r="A30" s="357">
        <f aca="true" t="shared" si="0" ref="A30:A36">+A29+1</f>
        <v>14</v>
      </c>
      <c r="B30" s="666" t="s">
        <v>438</v>
      </c>
      <c r="C30" s="608"/>
      <c r="D30" s="613"/>
      <c r="E30" s="1078">
        <v>21150</v>
      </c>
    </row>
    <row r="31" spans="1:21" ht="27" customHeight="1">
      <c r="A31" s="357">
        <f t="shared" si="0"/>
        <v>15</v>
      </c>
      <c r="B31" s="1243" t="str">
        <f>"Less: Total Hedge (Gain)/Expense Accumulated from p 256-257, col (i) of FERC Form 1 included in Ln "&amp;A30&amp;" and shown in Ln "&amp;A54&amp;" below."</f>
        <v>Less: Total Hedge (Gain)/Expense Accumulated from p 256-257, col (i) of FERC Form 1 included in Ln 14 and shown in Ln 32 below.</v>
      </c>
      <c r="C31" s="1243"/>
      <c r="D31" s="613"/>
      <c r="E31" s="481">
        <f>C54</f>
        <v>0</v>
      </c>
      <c r="F31" s="977"/>
      <c r="H31" s="111"/>
      <c r="I31" s="111"/>
      <c r="J31" s="111"/>
      <c r="K31" s="111"/>
      <c r="L31" s="111"/>
      <c r="M31" s="111"/>
      <c r="N31" s="111"/>
      <c r="O31" s="111"/>
      <c r="P31" s="111"/>
      <c r="Q31" s="111"/>
      <c r="R31" s="111"/>
      <c r="S31" s="111"/>
      <c r="T31" s="111"/>
      <c r="U31" s="111"/>
    </row>
    <row r="32" spans="1:21" ht="12.75" customHeight="1">
      <c r="A32" s="357">
        <f t="shared" si="0"/>
        <v>16</v>
      </c>
      <c r="B32" s="666" t="s">
        <v>427</v>
      </c>
      <c r="C32"/>
      <c r="D32"/>
      <c r="E32" s="1078">
        <v>107</v>
      </c>
      <c r="F32" s="977"/>
      <c r="H32" s="111"/>
      <c r="I32" s="111"/>
      <c r="J32" s="111"/>
      <c r="K32" s="111"/>
      <c r="L32" s="111"/>
      <c r="M32" s="111"/>
      <c r="N32" s="111"/>
      <c r="O32" s="111"/>
      <c r="P32" s="111"/>
      <c r="Q32" s="111"/>
      <c r="R32" s="111"/>
      <c r="S32" s="111"/>
      <c r="T32" s="111"/>
      <c r="U32" s="111"/>
    </row>
    <row r="33" spans="1:21" ht="12.75" customHeight="1">
      <c r="A33" s="357">
        <f t="shared" si="0"/>
        <v>17</v>
      </c>
      <c r="B33" s="666" t="s">
        <v>428</v>
      </c>
      <c r="C33" s="669"/>
      <c r="D33" s="613"/>
      <c r="E33" s="1078">
        <v>0</v>
      </c>
      <c r="F33" s="989"/>
      <c r="H33" s="111"/>
      <c r="I33" s="111"/>
      <c r="J33" s="111"/>
      <c r="K33" s="111"/>
      <c r="L33" s="111"/>
      <c r="M33" s="111"/>
      <c r="N33" s="111"/>
      <c r="O33" s="111"/>
      <c r="P33" s="111"/>
      <c r="Q33" s="111"/>
      <c r="R33" s="111"/>
      <c r="S33" s="111"/>
      <c r="T33" s="111"/>
      <c r="U33" s="111"/>
    </row>
    <row r="34" spans="1:5" ht="12.75" customHeight="1">
      <c r="A34" s="357">
        <f t="shared" si="0"/>
        <v>18</v>
      </c>
      <c r="B34" s="666" t="s">
        <v>429</v>
      </c>
      <c r="C34" s="669"/>
      <c r="D34" s="613"/>
      <c r="E34" s="1076">
        <v>0</v>
      </c>
    </row>
    <row r="35" spans="1:5" ht="12.75" customHeight="1">
      <c r="A35" s="357">
        <f t="shared" si="0"/>
        <v>19</v>
      </c>
      <c r="B35" s="666" t="s">
        <v>430</v>
      </c>
      <c r="C35" s="669"/>
      <c r="D35" s="613"/>
      <c r="E35" s="1138">
        <v>0</v>
      </c>
    </row>
    <row r="36" spans="1:6" ht="12.75" customHeight="1">
      <c r="A36" s="663">
        <f t="shared" si="0"/>
        <v>20</v>
      </c>
      <c r="B36" s="667" t="str">
        <f>"Total Interest Expense (Ln "&amp;A30&amp;" - Ln "&amp;A31&amp;" + Ln "&amp;A32&amp;" + Ln "&amp;A33&amp;" - Ln "&amp;A34&amp;" - Ln "&amp;A35&amp;")"</f>
        <v>Total Interest Expense (Ln 14 - Ln 15 + Ln 16 + Ln 17 - Ln 18 - Ln 19)</v>
      </c>
      <c r="C36" s="670"/>
      <c r="D36" s="660"/>
      <c r="E36" s="1001">
        <f>+E30-E31+E32+E33-E34-E35</f>
        <v>21257</v>
      </c>
      <c r="F36" s="1000"/>
    </row>
    <row r="37" spans="1:5" ht="12.75" customHeight="1" thickBot="1">
      <c r="A37" s="357"/>
      <c r="B37" s="666"/>
      <c r="C37" s="669"/>
      <c r="D37" s="613"/>
      <c r="E37" s="671"/>
    </row>
    <row r="38" spans="1:8" ht="12.75" customHeight="1" thickBot="1">
      <c r="A38" s="663">
        <f>+A36+1</f>
        <v>21</v>
      </c>
      <c r="B38" s="667" t="str">
        <f>"Average Cost of Debt for "&amp;'Historic TCOS'!O1&amp;" (Ln 20/Ln 11)"</f>
        <v>Average Cost of Debt for 2014 (Ln 20/Ln 11)</v>
      </c>
      <c r="C38" s="670"/>
      <c r="D38" s="613"/>
      <c r="E38" s="672">
        <f>IF(E36=0,0,+E36/E24)</f>
        <v>0.0106285</v>
      </c>
      <c r="F38" s="977"/>
      <c r="H38" s="111"/>
    </row>
    <row r="39" spans="1:5" ht="12.75" customHeight="1">
      <c r="A39" s="663"/>
      <c r="B39" s="667"/>
      <c r="C39" s="670"/>
      <c r="D39" s="613"/>
      <c r="E39" s="670"/>
    </row>
    <row r="40" spans="1:5" ht="12.75" customHeight="1">
      <c r="A40" s="801"/>
      <c r="B40" s="1245" t="s">
        <v>220</v>
      </c>
      <c r="C40" s="1245"/>
      <c r="D40" s="1245"/>
      <c r="E40" s="1245"/>
    </row>
    <row r="41" spans="1:6" ht="13.5">
      <c r="A41" s="801">
        <f>A38+1</f>
        <v>22</v>
      </c>
      <c r="B41" s="1246" t="str">
        <f>""&amp;'Historic TCOS'!F7&amp;" may not include costs (or gains) related to interest hedging activities"</f>
        <v>AEP KENTUCKY TRANSMISSION COMPANY may not include costs (or gains) related to interest hedging activities</v>
      </c>
      <c r="C41" s="1246"/>
      <c r="D41" s="1246"/>
      <c r="E41" s="1246"/>
      <c r="F41" s="1246"/>
    </row>
    <row r="42" spans="1:6" ht="12.75" customHeight="1">
      <c r="A42" s="801"/>
      <c r="B42" s="800"/>
      <c r="C42" s="800"/>
      <c r="D42" s="800"/>
      <c r="E42" s="1244" t="s">
        <v>112</v>
      </c>
      <c r="F42" s="1244"/>
    </row>
    <row r="43" spans="1:7" ht="39" customHeight="1">
      <c r="A43" s="801"/>
      <c r="B43" s="954" t="s">
        <v>113</v>
      </c>
      <c r="C43" s="954" t="str">
        <f>"(Amortization of (Gain)/Loss for "&amp;'Historic TCOS'!O1&amp;""</f>
        <v>(Amortization of (Gain)/Loss for 2014</v>
      </c>
      <c r="D43" s="953" t="s">
        <v>114</v>
      </c>
      <c r="E43" s="953" t="s">
        <v>906</v>
      </c>
      <c r="F43" s="953" t="s">
        <v>908</v>
      </c>
      <c r="G43" s="537"/>
    </row>
    <row r="44" spans="1:7" ht="12.75" customHeight="1">
      <c r="A44" s="801">
        <f>A41+1</f>
        <v>23</v>
      </c>
      <c r="B44" s="1122"/>
      <c r="C44" s="1139"/>
      <c r="D44" s="1076"/>
      <c r="E44" s="1140"/>
      <c r="F44" s="1140"/>
      <c r="G44" s="537"/>
    </row>
    <row r="45" spans="1:7" ht="12.75" customHeight="1">
      <c r="A45" s="801">
        <f>A44+1</f>
        <v>24</v>
      </c>
      <c r="B45" s="1122"/>
      <c r="C45" s="1139"/>
      <c r="D45" s="1076"/>
      <c r="E45" s="1140"/>
      <c r="F45" s="1140"/>
      <c r="G45" s="537"/>
    </row>
    <row r="46" spans="1:7" ht="12.75" customHeight="1">
      <c r="A46" s="801">
        <f aca="true" t="shared" si="1" ref="A46:A52">A45+1</f>
        <v>25</v>
      </c>
      <c r="B46" s="1122"/>
      <c r="C46" s="1076"/>
      <c r="D46" s="1076"/>
      <c r="E46" s="1140"/>
      <c r="F46" s="1140"/>
      <c r="G46" s="537"/>
    </row>
    <row r="47" spans="1:7" ht="12.75" customHeight="1">
      <c r="A47" s="801">
        <f t="shared" si="1"/>
        <v>26</v>
      </c>
      <c r="B47" s="1122"/>
      <c r="C47" s="1076"/>
      <c r="D47" s="1076"/>
      <c r="E47" s="1140"/>
      <c r="F47" s="1140"/>
      <c r="G47" s="537"/>
    </row>
    <row r="48" spans="1:7" ht="12.75" customHeight="1">
      <c r="A48" s="801">
        <f t="shared" si="1"/>
        <v>27</v>
      </c>
      <c r="B48" s="1122"/>
      <c r="C48" s="1076"/>
      <c r="D48" s="1076"/>
      <c r="E48" s="1140"/>
      <c r="F48" s="1140"/>
      <c r="G48" s="537"/>
    </row>
    <row r="49" spans="1:7" ht="12.75" customHeight="1">
      <c r="A49" s="801">
        <f t="shared" si="1"/>
        <v>28</v>
      </c>
      <c r="B49" s="1122"/>
      <c r="C49" s="1076"/>
      <c r="D49" s="1076"/>
      <c r="E49" s="1140"/>
      <c r="F49" s="1140"/>
      <c r="G49" s="537"/>
    </row>
    <row r="50" spans="1:7" ht="12.75" customHeight="1">
      <c r="A50" s="801">
        <f t="shared" si="1"/>
        <v>29</v>
      </c>
      <c r="B50" s="1122"/>
      <c r="C50" s="1076"/>
      <c r="D50" s="1076"/>
      <c r="E50" s="1140"/>
      <c r="F50" s="1140"/>
      <c r="G50" s="537"/>
    </row>
    <row r="51" spans="1:7" ht="12.75" customHeight="1">
      <c r="A51" s="801">
        <f t="shared" si="1"/>
        <v>30</v>
      </c>
      <c r="B51" s="1122"/>
      <c r="C51" s="1076"/>
      <c r="D51" s="1076"/>
      <c r="E51" s="1140"/>
      <c r="F51" s="1140"/>
      <c r="G51" s="537"/>
    </row>
    <row r="52" spans="1:7" ht="12.75" customHeight="1">
      <c r="A52" s="801">
        <f t="shared" si="1"/>
        <v>31</v>
      </c>
      <c r="B52" s="1122"/>
      <c r="C52" s="1076"/>
      <c r="D52" s="1076"/>
      <c r="E52" s="1140"/>
      <c r="F52" s="1140"/>
      <c r="G52" s="537"/>
    </row>
    <row r="53" spans="1:7" ht="12.75" customHeight="1">
      <c r="A53" s="801"/>
      <c r="B53" s="741"/>
      <c r="C53" s="955"/>
      <c r="F53" s="537"/>
      <c r="G53" s="537"/>
    </row>
    <row r="54" spans="1:7" ht="12.75" customHeight="1">
      <c r="A54" s="357">
        <f>A52+1</f>
        <v>32</v>
      </c>
      <c r="B54" s="667" t="s">
        <v>173</v>
      </c>
      <c r="C54" s="956">
        <f>SUM(C44:C52)</f>
        <v>0</v>
      </c>
      <c r="F54" s="537"/>
      <c r="G54" s="537"/>
    </row>
    <row r="55" spans="1:5" ht="12.75" customHeight="1">
      <c r="A55" s="357"/>
      <c r="B55" s="802"/>
      <c r="C55" s="956"/>
      <c r="D55" s="956"/>
      <c r="E55" s="537"/>
    </row>
    <row r="56" spans="1:5" ht="12.75" customHeight="1">
      <c r="A56" s="673" t="s">
        <v>431</v>
      </c>
      <c r="C56" s="669"/>
      <c r="D56" s="613"/>
      <c r="E56" s="669"/>
    </row>
    <row r="57" spans="1:5" ht="12.75" customHeight="1">
      <c r="A57" s="357"/>
      <c r="B57" s="666"/>
      <c r="C57" s="669"/>
      <c r="D57" s="613"/>
      <c r="E57" s="669"/>
    </row>
    <row r="58" spans="1:5" ht="12.75" customHeight="1">
      <c r="A58" s="357"/>
      <c r="B58" s="612" t="s">
        <v>867</v>
      </c>
      <c r="C58" s="674"/>
      <c r="D58" s="486"/>
      <c r="E58" s="674" t="s">
        <v>294</v>
      </c>
    </row>
    <row r="59" spans="1:5" ht="12.75" customHeight="1">
      <c r="A59" s="357">
        <f>+A54+1</f>
        <v>33</v>
      </c>
      <c r="B59" s="613" t="str">
        <f>""&amp;C$59*100&amp;"% Series - "&amp;C$60&amp;" - Dividend Rate (p. 250-251. 7 &amp; 10.a)"</f>
        <v>0% Series -  - Dividend Rate (p. 250-251. 7 &amp; 10.a)</v>
      </c>
      <c r="C59" s="1080"/>
      <c r="D59" s="1080"/>
      <c r="E59" s="674"/>
    </row>
    <row r="60" spans="1:5" ht="12.75" customHeight="1">
      <c r="A60" s="357">
        <f>+A59+1</f>
        <v>34</v>
      </c>
      <c r="B60" s="613" t="str">
        <f>""&amp;C$59*100&amp;"% Series - "&amp;C$60&amp;" - Par Value (p. 250-251. 8.c)"</f>
        <v>0% Series -  - Par Value (p. 250-251. 8.c)</v>
      </c>
      <c r="C60" s="1083"/>
      <c r="D60" s="1083"/>
      <c r="E60" s="674"/>
    </row>
    <row r="61" spans="1:5" ht="12.75" customHeight="1">
      <c r="A61" s="357">
        <f>+A60+1</f>
        <v>35</v>
      </c>
      <c r="B61" s="613" t="str">
        <f>""&amp;C$59*100&amp;"% Series - "&amp;C$60&amp;" - Shares O/S (p.250-251. 8 &amp; 11.e) "</f>
        <v>0% Series -  - Shares O/S (p.250-251. 8 &amp; 11.e) </v>
      </c>
      <c r="C61" s="1128"/>
      <c r="D61" s="1141"/>
      <c r="E61" s="675"/>
    </row>
    <row r="62" spans="1:5" ht="12.75" customHeight="1">
      <c r="A62" s="357">
        <f>+A61+1</f>
        <v>36</v>
      </c>
      <c r="B62" s="613" t="str">
        <f>""&amp;C$59*100&amp;"% Series - "&amp;C$60&amp;" - Monetary Value (Ln "&amp;A60&amp;" * Ln "&amp;A61&amp;")"</f>
        <v>0% Series -  - Monetary Value (Ln 34 * Ln 35)</v>
      </c>
      <c r="C62" s="411">
        <f>+C61*C60</f>
        <v>0</v>
      </c>
      <c r="D62" s="840">
        <f>+D61*D60</f>
        <v>0</v>
      </c>
      <c r="E62" s="661">
        <f>IF(C62=D62=0,0,AVERAGE(C62:D62))</f>
        <v>0</v>
      </c>
    </row>
    <row r="63" spans="1:6" ht="12.75" customHeight="1">
      <c r="A63" s="357">
        <f>+A62+1</f>
        <v>37</v>
      </c>
      <c r="B63" s="613" t="str">
        <f>""&amp;C$59*100&amp;"% Series - "&amp;C$60&amp;" -  Dividend Amount (Ln "&amp;A59&amp;" * Ln "&amp;A62&amp;")"</f>
        <v>0% Series -  -  Dividend Amount (Ln 33 * Ln 36)</v>
      </c>
      <c r="C63" s="411">
        <f>C59*C62</f>
        <v>0</v>
      </c>
      <c r="D63" s="411">
        <f>D59*D62</f>
        <v>0</v>
      </c>
      <c r="E63" s="661">
        <f>IF(C63=D63=0,0,AVERAGE(C63:D63))</f>
        <v>0</v>
      </c>
      <c r="F63" s="977"/>
    </row>
    <row r="64" spans="1:5" ht="12.75" customHeight="1">
      <c r="A64" s="357"/>
      <c r="B64" s="613"/>
      <c r="C64" s="411"/>
      <c r="D64" s="609"/>
      <c r="E64" s="611"/>
    </row>
    <row r="65" spans="1:5" ht="12.75" customHeight="1">
      <c r="A65" s="357">
        <f>+A63+1</f>
        <v>38</v>
      </c>
      <c r="B65" s="613" t="str">
        <f>""&amp;C$65*100&amp;"% Series - "&amp;C$66&amp;" - Dividend Rate (p. 250-251.a)"</f>
        <v>0% Series -  - Dividend Rate (p. 250-251.a)</v>
      </c>
      <c r="C65" s="1080"/>
      <c r="D65" s="1080"/>
      <c r="E65" s="611"/>
    </row>
    <row r="66" spans="1:5" ht="12.75" customHeight="1">
      <c r="A66" s="357">
        <f>+A65+1</f>
        <v>39</v>
      </c>
      <c r="B66" s="613" t="str">
        <f>""&amp;C$65*100&amp;"% Series - "&amp;C$66&amp;" - Par Value (p. 250-251.c)"</f>
        <v>0% Series -  - Par Value (p. 250-251.c)</v>
      </c>
      <c r="C66" s="1083"/>
      <c r="D66" s="1083"/>
      <c r="E66" s="611"/>
    </row>
    <row r="67" spans="1:5" ht="12.75" customHeight="1">
      <c r="A67" s="357">
        <f>+A66+1</f>
        <v>40</v>
      </c>
      <c r="B67" s="613" t="str">
        <f>""&amp;C$65*100&amp;"% Series - "&amp;C$66&amp;" - Shares O/S (p.250-251. e) "</f>
        <v>0% Series -  - Shares O/S (p.250-251. e) </v>
      </c>
      <c r="C67" s="1128"/>
      <c r="D67" s="1128"/>
      <c r="E67" s="611"/>
    </row>
    <row r="68" spans="1:5" ht="12.75" customHeight="1">
      <c r="A68" s="357">
        <f>+A67+1</f>
        <v>41</v>
      </c>
      <c r="B68" s="613" t="str">
        <f>""&amp;C$65*100&amp;"% Series - "&amp;C$66&amp;" - Monetary Value (Ln "&amp;A66&amp;" * Ln "&amp;A67&amp;")"</f>
        <v>0% Series -  - Monetary Value (Ln 39 * Ln 40)</v>
      </c>
      <c r="C68" s="411">
        <f>+C67*C66</f>
        <v>0</v>
      </c>
      <c r="D68" s="411">
        <f>+D67*D66</f>
        <v>0</v>
      </c>
      <c r="E68" s="661">
        <f>IF(C68=D68=0,0,AVERAGE(C68:D68))</f>
        <v>0</v>
      </c>
    </row>
    <row r="69" spans="1:6" ht="12.75" customHeight="1">
      <c r="A69" s="357">
        <f>+A68+1</f>
        <v>42</v>
      </c>
      <c r="B69" s="613" t="str">
        <f>""&amp;C$65*100&amp;"% Series - "&amp;C$66&amp;" -  Dividend Amount (Ln "&amp;A65&amp;" * Ln "&amp;A68&amp;")"</f>
        <v>0% Series -  -  Dividend Amount (Ln 38 * Ln 41)</v>
      </c>
      <c r="C69" s="481">
        <f>+C68*C65</f>
        <v>0</v>
      </c>
      <c r="D69" s="481">
        <f>+D68*D65</f>
        <v>0</v>
      </c>
      <c r="E69" s="661">
        <f>IF(C69=D69=0,0,AVERAGE(C69:D69))</f>
        <v>0</v>
      </c>
      <c r="F69" s="977"/>
    </row>
    <row r="70" spans="1:5" ht="12.75" customHeight="1">
      <c r="A70" s="357"/>
      <c r="B70" s="613"/>
      <c r="C70" s="481"/>
      <c r="D70" s="481"/>
      <c r="E70" s="661"/>
    </row>
    <row r="71" spans="1:5" ht="12.75" customHeight="1">
      <c r="A71" s="357">
        <f>+A69+1</f>
        <v>43</v>
      </c>
      <c r="B71" s="613" t="str">
        <f>""&amp;C$71*100&amp;"% Series - "&amp;C$72&amp;" - Dividend Rate (p. 250-251.a)"</f>
        <v>0% Series -  - Dividend Rate (p. 250-251.a)</v>
      </c>
      <c r="C71" s="1080"/>
      <c r="D71" s="1086"/>
      <c r="E71" s="661"/>
    </row>
    <row r="72" spans="1:5" ht="12.75" customHeight="1">
      <c r="A72" s="357">
        <f>+A71+1</f>
        <v>44</v>
      </c>
      <c r="B72" s="613" t="str">
        <f>""&amp;C$71*100&amp;"% Series - "&amp;C$72&amp;" - Par Value (p. 250-251.c)"</f>
        <v>0% Series -  - Par Value (p. 250-251.c)</v>
      </c>
      <c r="C72" s="1083"/>
      <c r="D72" s="1087"/>
      <c r="E72" s="661"/>
    </row>
    <row r="73" spans="1:5" ht="12.75" customHeight="1">
      <c r="A73" s="357">
        <f>+A72+1</f>
        <v>45</v>
      </c>
      <c r="B73" s="613" t="str">
        <f>""&amp;C$71*100&amp;"% Series - "&amp;C$72&amp;" - Shares O/S (p.250-251.e) "</f>
        <v>0% Series -  - Shares O/S (p.250-251.e) </v>
      </c>
      <c r="C73" s="1128"/>
      <c r="D73" s="1128"/>
      <c r="E73" s="611"/>
    </row>
    <row r="74" spans="1:5" ht="12.75" customHeight="1">
      <c r="A74" s="357">
        <f>+A73+1</f>
        <v>46</v>
      </c>
      <c r="B74" s="613" t="str">
        <f>""&amp;C$71*100&amp;"% Series - "&amp;C$72&amp;" - Monetary Value (Ln "&amp;A72&amp;" * Ln "&amp;A73&amp;")"</f>
        <v>0% Series -  - Monetary Value (Ln 44 * Ln 45)</v>
      </c>
      <c r="C74" s="411">
        <f>+C73*C72</f>
        <v>0</v>
      </c>
      <c r="D74" s="411">
        <f>+D73*D72</f>
        <v>0</v>
      </c>
      <c r="E74" s="661">
        <f>IF(C74=D74=0,0,AVERAGE(C74:D74))</f>
        <v>0</v>
      </c>
    </row>
    <row r="75" spans="1:6" ht="12.75" customHeight="1">
      <c r="A75" s="357">
        <f>+A74+1</f>
        <v>47</v>
      </c>
      <c r="B75" s="613" t="str">
        <f>""&amp;C$71*100&amp;"% Series - "&amp;C$72&amp;" -  Dividend Amount (Ln "&amp;A71&amp;" * Ln "&amp;A74&amp;")"</f>
        <v>0% Series -  -  Dividend Amount (Ln 43 * Ln 46)</v>
      </c>
      <c r="C75" s="481">
        <f>+C74*C71</f>
        <v>0</v>
      </c>
      <c r="D75" s="481">
        <f>+D74*D71</f>
        <v>0</v>
      </c>
      <c r="E75" s="661">
        <f>IF(C75=D75=0,0,AVERAGE(C75:D75))</f>
        <v>0</v>
      </c>
      <c r="F75" s="977"/>
    </row>
    <row r="76" spans="1:4" ht="12.75" customHeight="1">
      <c r="A76" s="357"/>
      <c r="B76" s="613"/>
      <c r="C76" s="481"/>
      <c r="D76" s="481"/>
    </row>
    <row r="77" spans="1:6" ht="12.75" customHeight="1">
      <c r="A77" s="357">
        <f>+A75+1</f>
        <v>48</v>
      </c>
      <c r="B77" s="660" t="str">
        <f>"Balance of Preferred Stock (Lns "&amp;A62&amp;", "&amp;A68&amp;", "&amp;A74&amp;")"</f>
        <v>Balance of Preferred Stock (Lns 36, 41, 46)</v>
      </c>
      <c r="C77" s="481">
        <f>+C62+C68+C74</f>
        <v>0</v>
      </c>
      <c r="D77" s="481">
        <f>+D62+D68+D74</f>
        <v>0</v>
      </c>
      <c r="E77" s="676">
        <f>+E62+E68+E74</f>
        <v>0</v>
      </c>
      <c r="F77" s="150" t="s">
        <v>233</v>
      </c>
    </row>
    <row r="78" spans="1:5" ht="12.75" customHeight="1" thickBot="1">
      <c r="A78" s="357">
        <f>+A77+1</f>
        <v>49</v>
      </c>
      <c r="B78" s="660" t="str">
        <f>"Dividends on Preferred Stock (Lns "&amp;A63&amp;", "&amp;A69&amp;", "&amp;A75&amp;")"</f>
        <v>Dividends on Preferred Stock (Lns 37, 42, 47)</v>
      </c>
      <c r="C78" s="677">
        <f>+C69+C63+C75</f>
        <v>0</v>
      </c>
      <c r="D78" s="677">
        <f>+D69+D63+D75</f>
        <v>0</v>
      </c>
      <c r="E78" s="678">
        <f>+E75+E69+E63</f>
        <v>0</v>
      </c>
    </row>
    <row r="79" spans="1:5" ht="12.75" customHeight="1" thickBot="1">
      <c r="A79" s="357">
        <f>+A78+1</f>
        <v>50</v>
      </c>
      <c r="B79" s="166" t="str">
        <f>"Average Cost of Preferred Stock (Ln "&amp;A78&amp;"/"&amp;A77&amp;")"</f>
        <v>Average Cost of Preferred Stock (Ln 49/48)</v>
      </c>
      <c r="C79" s="679">
        <f>IF(C77=0,0,C78/C77)</f>
        <v>0</v>
      </c>
      <c r="D79" s="679">
        <f>IF(D77=0,0,D78/D77)</f>
        <v>0</v>
      </c>
      <c r="E79" s="672">
        <f>IF(E78=0,0,+E78/E77)</f>
        <v>0</v>
      </c>
    </row>
    <row r="80" spans="1:5" ht="12.75" customHeight="1">
      <c r="A80" s="357"/>
      <c r="B80" s="166"/>
      <c r="C80" s="679"/>
      <c r="D80" s="679"/>
      <c r="E80" s="670"/>
    </row>
  </sheetData>
  <sheetProtection/>
  <mergeCells count="10">
    <mergeCell ref="A4:E4"/>
    <mergeCell ref="A1:E1"/>
    <mergeCell ref="A2:E2"/>
    <mergeCell ref="A3:E3"/>
    <mergeCell ref="B31:C31"/>
    <mergeCell ref="E42:F42"/>
    <mergeCell ref="B40:E40"/>
    <mergeCell ref="B41:F41"/>
    <mergeCell ref="B26:E28"/>
    <mergeCell ref="B5:F5"/>
  </mergeCells>
  <printOptions/>
  <pageMargins left="0.7" right="0.72" top="0.91" bottom="0.7" header="0.75" footer="0.5"/>
  <pageSetup fitToHeight="1" fitToWidth="1" horizontalDpi="600" verticalDpi="600" orientation="portrait" scale="42"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U32"/>
  <sheetViews>
    <sheetView zoomScale="63" zoomScaleNormal="63" zoomScalePageLayoutView="0" workbookViewId="0" topLeftCell="A1">
      <selection activeCell="E22" sqref="E22"/>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7.25">
      <c r="A1" s="1227" t="str">
        <f>'Historic TCOS'!$F$3</f>
        <v>AEPTCo subsidiaries in PJM</v>
      </c>
      <c r="B1" s="1227" t="str">
        <f>'Historic TCOS'!$F$3</f>
        <v>AEPTCo subsidiaries in PJM</v>
      </c>
      <c r="C1" s="1227" t="str">
        <f>'Historic TCOS'!$F$3</f>
        <v>AEPTCo subsidiaries in PJM</v>
      </c>
      <c r="D1" s="1227" t="str">
        <f>'Historic TCOS'!$F$3</f>
        <v>AEPTCo subsidiaries in PJM</v>
      </c>
      <c r="E1" s="1227" t="str">
        <f>'Historic TCOS'!$F$3</f>
        <v>AEPTCo subsidiaries in PJM</v>
      </c>
      <c r="F1" s="1227" t="str">
        <f>'Historic TCOS'!$F$3</f>
        <v>AEPTCo subsidiaries in PJM</v>
      </c>
      <c r="G1" s="1227" t="str">
        <f>'Historic TCOS'!$F$3</f>
        <v>AEPTCo subsidiaries in PJM</v>
      </c>
      <c r="H1" s="1227" t="str">
        <f>'Historic TCOS'!$F$3</f>
        <v>AEPTCo subsidiaries in PJM</v>
      </c>
      <c r="I1" s="1227" t="str">
        <f>'Historic TCOS'!$F$3</f>
        <v>AEPTCo subsidiaries in PJM</v>
      </c>
      <c r="J1" s="1227" t="str">
        <f>'Historic TCOS'!$F$3</f>
        <v>AEPTCo subsidiaries in PJM</v>
      </c>
      <c r="K1" s="1227" t="str">
        <f>'Historic TCOS'!$F$3</f>
        <v>AEPTCo subsidiaries in PJM</v>
      </c>
      <c r="L1" s="1227" t="str">
        <f>'Historic TCOS'!$F$3</f>
        <v>AEPTCo subsidiaries in PJM</v>
      </c>
      <c r="M1" s="1227" t="str">
        <f>'Historic TCOS'!$F$3</f>
        <v>AEPTCo subsidiaries in PJM</v>
      </c>
      <c r="N1" s="1227" t="str">
        <f>'Historic TCOS'!$F$3</f>
        <v>AEPTCo subsidiaries in PJM</v>
      </c>
      <c r="O1" s="1227" t="str">
        <f>'Historic TCOS'!$F$3</f>
        <v>AEPTCo subsidiaries in PJM</v>
      </c>
    </row>
    <row r="2" spans="1:15" ht="17.25">
      <c r="A2" s="1226" t="str">
        <f>"Cost of Service Formula Rate Using "&amp;'Historic TCOS'!O1&amp;" FF1 Balances"</f>
        <v>Cost of Service Formula Rate Using 2014 FF1 Balances</v>
      </c>
      <c r="B2" s="1226"/>
      <c r="C2" s="1226"/>
      <c r="D2" s="1226"/>
      <c r="E2" s="1226"/>
      <c r="F2" s="1226"/>
      <c r="G2" s="1226"/>
      <c r="H2" s="1226"/>
      <c r="I2" s="1226"/>
      <c r="J2" s="1226"/>
      <c r="K2" s="1226"/>
      <c r="L2" s="1226"/>
      <c r="M2" s="1226"/>
      <c r="N2" s="1226"/>
      <c r="O2" s="1226"/>
    </row>
    <row r="3" spans="1:15" ht="17.25">
      <c r="A3" s="1226" t="s">
        <v>832</v>
      </c>
      <c r="B3" s="1226"/>
      <c r="C3" s="1226"/>
      <c r="D3" s="1226"/>
      <c r="E3" s="1226"/>
      <c r="F3" s="1226"/>
      <c r="G3" s="1226"/>
      <c r="H3" s="1226"/>
      <c r="I3" s="1226"/>
      <c r="J3" s="1226"/>
      <c r="K3" s="1226"/>
      <c r="L3" s="1226"/>
      <c r="M3" s="1226"/>
      <c r="N3" s="1226"/>
      <c r="O3" s="1226"/>
    </row>
    <row r="4" spans="1:15" ht="17.25">
      <c r="A4" s="1219" t="str">
        <f>+'Historic TCOS'!F7</f>
        <v>AEP KENTUCKY TRANSMISSION COMPANY</v>
      </c>
      <c r="B4" s="1219"/>
      <c r="C4" s="1219"/>
      <c r="D4" s="1219"/>
      <c r="E4" s="1219"/>
      <c r="F4" s="1219"/>
      <c r="G4" s="1219"/>
      <c r="H4" s="1219"/>
      <c r="I4" s="1219"/>
      <c r="J4" s="1219"/>
      <c r="K4" s="1219"/>
      <c r="L4" s="1219"/>
      <c r="M4" s="1219"/>
      <c r="N4" s="1219"/>
      <c r="O4" s="1219"/>
    </row>
    <row r="5" spans="1:12" ht="12.75" customHeight="1">
      <c r="A5" s="513"/>
      <c r="B5" s="513"/>
      <c r="C5" s="513"/>
      <c r="D5" s="513"/>
      <c r="E5" s="513"/>
      <c r="F5" s="513"/>
      <c r="G5" s="513"/>
      <c r="H5" s="513"/>
      <c r="I5" s="513"/>
      <c r="J5" s="513"/>
      <c r="K5" s="513"/>
      <c r="L5" s="513"/>
    </row>
    <row r="6" spans="1:15" ht="12.75" customHeight="1">
      <c r="A6" s="1250" t="s">
        <v>321</v>
      </c>
      <c r="B6" s="1250"/>
      <c r="C6" s="1250"/>
      <c r="D6" s="1250"/>
      <c r="E6" s="1250"/>
      <c r="F6" s="1250"/>
      <c r="G6" s="1250"/>
      <c r="H6" s="1250"/>
      <c r="I6" s="1250"/>
      <c r="J6" s="1250"/>
      <c r="K6" s="1250"/>
      <c r="L6" s="1250"/>
      <c r="M6" s="1250"/>
      <c r="N6" s="1250"/>
      <c r="O6" s="1250"/>
    </row>
    <row r="7" spans="1:15" ht="12.75" customHeight="1">
      <c r="A7" s="1250"/>
      <c r="B7" s="1250"/>
      <c r="C7" s="1250"/>
      <c r="D7" s="1250"/>
      <c r="E7" s="1250"/>
      <c r="F7" s="1250"/>
      <c r="G7" s="1250"/>
      <c r="H7" s="1250"/>
      <c r="I7" s="1250"/>
      <c r="J7" s="1250"/>
      <c r="K7" s="1250"/>
      <c r="L7" s="1250"/>
      <c r="M7" s="1250"/>
      <c r="N7" s="1250"/>
      <c r="O7" s="1250"/>
    </row>
    <row r="8" spans="1:15" ht="12.75">
      <c r="A8" s="1250"/>
      <c r="B8" s="1250"/>
      <c r="C8" s="1250"/>
      <c r="D8" s="1250"/>
      <c r="E8" s="1250"/>
      <c r="F8" s="1250"/>
      <c r="G8" s="1250"/>
      <c r="H8" s="1250"/>
      <c r="I8" s="1250"/>
      <c r="J8" s="1250"/>
      <c r="K8" s="1250"/>
      <c r="L8" s="1250"/>
      <c r="M8" s="1250"/>
      <c r="N8" s="1250"/>
      <c r="O8" s="1250"/>
    </row>
    <row r="9" spans="1:15" ht="12.75">
      <c r="A9" s="1250"/>
      <c r="B9" s="1250"/>
      <c r="C9" s="1250"/>
      <c r="D9" s="1250"/>
      <c r="E9" s="1250"/>
      <c r="F9" s="1250"/>
      <c r="G9" s="1250"/>
      <c r="H9" s="1250"/>
      <c r="I9" s="1250"/>
      <c r="J9" s="1250"/>
      <c r="K9" s="1250"/>
      <c r="L9" s="1250"/>
      <c r="M9" s="1250"/>
      <c r="N9" s="1250"/>
      <c r="O9" s="1250"/>
    </row>
    <row r="10" spans="2:21" ht="12.75">
      <c r="B10" s="6" t="s">
        <v>601</v>
      </c>
      <c r="C10" s="6"/>
      <c r="D10" s="1170" t="s">
        <v>602</v>
      </c>
      <c r="E10" s="1170"/>
      <c r="F10" s="1170"/>
      <c r="G10" s="1170"/>
      <c r="H10" s="6"/>
      <c r="I10" s="6" t="s">
        <v>366</v>
      </c>
      <c r="J10" s="6"/>
      <c r="K10" s="6" t="s">
        <v>604</v>
      </c>
      <c r="L10" s="6"/>
      <c r="M10" s="6" t="s">
        <v>522</v>
      </c>
      <c r="N10" s="6"/>
      <c r="O10" s="6" t="s">
        <v>523</v>
      </c>
      <c r="P10" s="6"/>
      <c r="Q10" s="6" t="s">
        <v>491</v>
      </c>
      <c r="R10" s="6"/>
      <c r="S10" s="6" t="s">
        <v>529</v>
      </c>
      <c r="U10" s="353" t="s">
        <v>288</v>
      </c>
    </row>
    <row r="11" spans="9:21" ht="12.75">
      <c r="I11" s="1165" t="s">
        <v>489</v>
      </c>
      <c r="Q11" s="1248" t="s">
        <v>490</v>
      </c>
      <c r="S11" s="1165" t="s">
        <v>492</v>
      </c>
      <c r="U11" s="1058" t="s">
        <v>227</v>
      </c>
    </row>
    <row r="12" spans="1:21" ht="12.75">
      <c r="A12" s="522" t="s">
        <v>488</v>
      </c>
      <c r="B12" s="522" t="s">
        <v>484</v>
      </c>
      <c r="C12" s="522"/>
      <c r="D12" s="619" t="s">
        <v>485</v>
      </c>
      <c r="E12" s="522"/>
      <c r="F12" s="522"/>
      <c r="G12" s="522"/>
      <c r="H12" s="522"/>
      <c r="I12" s="1164"/>
      <c r="J12" s="522"/>
      <c r="K12" s="522" t="s">
        <v>486</v>
      </c>
      <c r="L12" s="522"/>
      <c r="M12" s="522" t="s">
        <v>487</v>
      </c>
      <c r="N12" s="522"/>
      <c r="O12" s="522" t="s">
        <v>278</v>
      </c>
      <c r="Q12" s="1248"/>
      <c r="S12" s="1165"/>
      <c r="U12" s="1058" t="s">
        <v>930</v>
      </c>
    </row>
    <row r="13" spans="1:19" ht="12.75">
      <c r="A13" s="522"/>
      <c r="B13" s="522"/>
      <c r="C13" s="522"/>
      <c r="D13" s="619"/>
      <c r="E13" s="522"/>
      <c r="F13" s="522"/>
      <c r="G13" s="522"/>
      <c r="H13" s="522"/>
      <c r="I13" s="10" t="s">
        <v>276</v>
      </c>
      <c r="J13" s="522"/>
      <c r="K13" s="522"/>
      <c r="L13" s="522"/>
      <c r="M13" s="522"/>
      <c r="N13" s="522"/>
      <c r="O13" s="522"/>
      <c r="Q13" s="716"/>
      <c r="S13" s="522" t="s">
        <v>278</v>
      </c>
    </row>
    <row r="14" ht="12.75">
      <c r="I14" t="s">
        <v>277</v>
      </c>
    </row>
    <row r="15" spans="1:21" ht="12.75">
      <c r="A15" s="6">
        <v>1</v>
      </c>
      <c r="B15" s="1151"/>
      <c r="D15" s="1249"/>
      <c r="E15" s="1249"/>
      <c r="F15" s="1249"/>
      <c r="G15" s="1249"/>
      <c r="I15" s="1152"/>
      <c r="K15" s="1128"/>
      <c r="L15" s="475"/>
      <c r="M15" s="1128"/>
      <c r="O15" s="531">
        <f>+K15-M15</f>
        <v>0</v>
      </c>
      <c r="Q15" s="647">
        <f>IF(I15="G",'True-UP TCOS'!L$239,IF(I15="T",1,0))</f>
        <v>0</v>
      </c>
      <c r="S15" s="531">
        <f>ROUND(O15*Q15,0)</f>
        <v>0</v>
      </c>
      <c r="U15" s="1153"/>
    </row>
    <row r="16" spans="1:19" ht="12.75">
      <c r="A16" s="6"/>
      <c r="D16" s="1249"/>
      <c r="E16" s="1249"/>
      <c r="F16" s="1249"/>
      <c r="G16" s="1249"/>
      <c r="K16" s="475"/>
      <c r="L16" s="475"/>
      <c r="M16" s="475"/>
      <c r="O16" s="475"/>
      <c r="Q16" s="647"/>
      <c r="S16" s="475"/>
    </row>
    <row r="17" spans="1:19" ht="12.75">
      <c r="A17" s="6"/>
      <c r="D17" s="1249"/>
      <c r="E17" s="1249"/>
      <c r="F17" s="1249"/>
      <c r="G17" s="1249"/>
      <c r="K17" s="475"/>
      <c r="L17" s="475"/>
      <c r="M17" s="475"/>
      <c r="O17" s="475"/>
      <c r="Q17" s="647"/>
      <c r="S17" s="475"/>
    </row>
    <row r="18" spans="1:19" ht="12.75">
      <c r="A18" s="6"/>
      <c r="K18" s="475"/>
      <c r="L18" s="475"/>
      <c r="M18" s="475"/>
      <c r="O18" s="475"/>
      <c r="Q18" s="647"/>
      <c r="S18" s="475"/>
    </row>
    <row r="19" spans="1:19" ht="12.75">
      <c r="A19" s="6"/>
      <c r="K19" s="475"/>
      <c r="L19" s="475"/>
      <c r="M19" s="475"/>
      <c r="O19" s="475"/>
      <c r="Q19" s="647"/>
      <c r="S19" s="475"/>
    </row>
    <row r="20" spans="1:21" ht="12" customHeight="1">
      <c r="A20" s="6">
        <f>+A15+1</f>
        <v>2</v>
      </c>
      <c r="B20" s="1151"/>
      <c r="D20" s="1249"/>
      <c r="E20" s="1249"/>
      <c r="F20" s="1249"/>
      <c r="G20" s="1249"/>
      <c r="I20" s="1152"/>
      <c r="K20" s="1128"/>
      <c r="L20" s="475"/>
      <c r="M20" s="1128"/>
      <c r="O20" s="531">
        <f>+K20-M20</f>
        <v>0</v>
      </c>
      <c r="Q20" s="647">
        <f>IF(I20="G",'True-UP TCOS'!L$239,IF(I20="T",1,0))</f>
        <v>0</v>
      </c>
      <c r="S20" s="531">
        <f>ROUND(O20*Q20,0)</f>
        <v>0</v>
      </c>
      <c r="U20" s="1153"/>
    </row>
    <row r="21" spans="1:19" ht="12.75">
      <c r="A21" s="6"/>
      <c r="D21" s="1249"/>
      <c r="E21" s="1249"/>
      <c r="F21" s="1249"/>
      <c r="G21" s="1249"/>
      <c r="K21" s="475"/>
      <c r="L21" s="475"/>
      <c r="M21" s="475"/>
      <c r="O21" s="475"/>
      <c r="Q21" s="647"/>
      <c r="S21" s="475"/>
    </row>
    <row r="22" spans="1:19" ht="12.75">
      <c r="A22" s="6"/>
      <c r="D22" s="1249"/>
      <c r="E22" s="1249"/>
      <c r="F22" s="1249"/>
      <c r="G22" s="1249"/>
      <c r="K22" s="475"/>
      <c r="L22" s="475"/>
      <c r="M22" s="475"/>
      <c r="O22" s="475"/>
      <c r="Q22" s="647"/>
      <c r="S22" s="475"/>
    </row>
    <row r="23" spans="1:19" ht="12.75">
      <c r="A23" s="6"/>
      <c r="I23" s="6"/>
      <c r="K23" s="475"/>
      <c r="L23" s="475"/>
      <c r="M23" s="475"/>
      <c r="O23" s="475"/>
      <c r="Q23" s="647"/>
      <c r="S23" s="475"/>
    </row>
    <row r="24" spans="1:19" ht="12.75">
      <c r="A24" s="6"/>
      <c r="I24" s="6"/>
      <c r="K24" s="475"/>
      <c r="L24" s="475"/>
      <c r="M24" s="475"/>
      <c r="O24" s="475"/>
      <c r="Q24" s="647"/>
      <c r="S24" s="475"/>
    </row>
    <row r="25" spans="1:21" ht="12.75">
      <c r="A25" s="6">
        <f>+A20+1</f>
        <v>3</v>
      </c>
      <c r="B25" s="1151"/>
      <c r="D25" s="1249"/>
      <c r="E25" s="1249"/>
      <c r="F25" s="1249"/>
      <c r="G25" s="1249"/>
      <c r="I25" s="1152"/>
      <c r="K25" s="1128"/>
      <c r="L25" s="475"/>
      <c r="M25" s="1128"/>
      <c r="O25" s="531">
        <f>+K25-M25</f>
        <v>0</v>
      </c>
      <c r="Q25" s="647">
        <f>IF(I25="G",'True-UP TCOS'!L$239,IF(I25="T",1,0))</f>
        <v>0</v>
      </c>
      <c r="S25" s="531">
        <f>ROUND(O25*Q25,0)</f>
        <v>0</v>
      </c>
      <c r="U25" s="1153"/>
    </row>
    <row r="26" spans="1:19" ht="12.75">
      <c r="A26" s="6"/>
      <c r="D26" s="1249"/>
      <c r="E26" s="1249"/>
      <c r="F26" s="1249"/>
      <c r="G26" s="1249"/>
      <c r="K26" s="475"/>
      <c r="L26" s="475"/>
      <c r="M26" s="475"/>
      <c r="O26" s="475"/>
      <c r="Q26" s="647"/>
      <c r="S26" s="475"/>
    </row>
    <row r="27" spans="1:17" ht="12.75">
      <c r="A27" s="6"/>
      <c r="D27" s="1249"/>
      <c r="E27" s="1249"/>
      <c r="F27" s="1249"/>
      <c r="G27" s="1249"/>
      <c r="K27" s="475"/>
      <c r="L27" s="475"/>
      <c r="M27" s="475"/>
      <c r="O27" s="475"/>
      <c r="Q27" s="647"/>
    </row>
    <row r="28" spans="1:17" ht="12.75">
      <c r="A28" s="6"/>
      <c r="O28" s="475"/>
      <c r="Q28" s="647"/>
    </row>
    <row r="29" spans="1:17" ht="12.75">
      <c r="A29" s="6"/>
      <c r="O29" s="475"/>
      <c r="Q29" s="647"/>
    </row>
    <row r="30" spans="1:17" ht="12.75">
      <c r="A30" s="6"/>
      <c r="O30" s="475"/>
      <c r="Q30" s="647"/>
    </row>
    <row r="31" spans="1:19" ht="13.5" thickBot="1">
      <c r="A31" s="6">
        <f>+A25+1</f>
        <v>4</v>
      </c>
      <c r="K31" t="str">
        <f>"Net (Gain) or Loss for "&amp;'Historic TCOS'!O1&amp;""</f>
        <v>Net (Gain) or Loss for 2014</v>
      </c>
      <c r="O31" s="714">
        <f>SUM(O15:O25)</f>
        <v>0</v>
      </c>
      <c r="Q31" s="715"/>
      <c r="S31" s="714">
        <f>SUM(S15:S25)</f>
        <v>0</v>
      </c>
    </row>
    <row r="32" spans="1:17" ht="13.5" thickTop="1">
      <c r="A32" s="6"/>
      <c r="O32" s="475"/>
      <c r="Q32" s="715"/>
    </row>
  </sheetData>
  <sheetProtection/>
  <mergeCells count="12">
    <mergeCell ref="A4:O4"/>
    <mergeCell ref="A6:O9"/>
    <mergeCell ref="Q11:Q12"/>
    <mergeCell ref="S11:S12"/>
    <mergeCell ref="D15:G17"/>
    <mergeCell ref="D20:G22"/>
    <mergeCell ref="D25:G27"/>
    <mergeCell ref="A1:O1"/>
    <mergeCell ref="A2:O2"/>
    <mergeCell ref="A3:O3"/>
    <mergeCell ref="I11:I12"/>
    <mergeCell ref="D10:G10"/>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dimension ref="A1:U1263"/>
  <sheetViews>
    <sheetView tabSelected="1" zoomScale="70" zoomScaleNormal="70" zoomScaleSheetLayoutView="65" zoomScalePageLayoutView="0" workbookViewId="0" topLeftCell="A1">
      <selection activeCell="L203" sqref="L203"/>
    </sheetView>
  </sheetViews>
  <sheetFormatPr defaultColWidth="9.14062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6.7109375" style="16" customWidth="1"/>
    <col min="7" max="7" width="20.7109375" style="16" customWidth="1"/>
    <col min="8" max="8" width="21.421875" style="16" customWidth="1"/>
    <col min="9" max="9" width="8.00390625" style="16" customWidth="1"/>
    <col min="10" max="10" width="13.57421875" style="16" customWidth="1"/>
    <col min="11" max="11" width="3.140625" style="16" customWidth="1"/>
    <col min="12" max="12" width="18.5742187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9.140625" style="16" customWidth="1"/>
  </cols>
  <sheetData>
    <row r="1" spans="2:13" ht="15">
      <c r="B1" s="91"/>
      <c r="C1" s="13"/>
      <c r="D1" s="134"/>
      <c r="E1" s="66"/>
      <c r="F1" s="66"/>
      <c r="G1" s="67"/>
      <c r="H1" s="13"/>
      <c r="I1" s="14"/>
      <c r="J1" s="14"/>
      <c r="K1" s="14"/>
      <c r="L1" s="15"/>
      <c r="M1" s="13" t="s">
        <v>555</v>
      </c>
    </row>
    <row r="2" spans="2:13" ht="15">
      <c r="B2" s="91"/>
      <c r="C2" s="13"/>
      <c r="D2" s="13"/>
      <c r="E2" s="13"/>
      <c r="F2" s="13"/>
      <c r="G2" s="13"/>
      <c r="H2" s="13"/>
      <c r="I2" s="13"/>
      <c r="J2" s="13"/>
      <c r="K2" s="13"/>
      <c r="L2" s="13"/>
      <c r="M2" s="13" t="s">
        <v>555</v>
      </c>
    </row>
    <row r="3" spans="2:13" ht="15">
      <c r="B3" s="91"/>
      <c r="C3" s="13"/>
      <c r="D3" s="17"/>
      <c r="E3" s="17"/>
      <c r="F3" s="11" t="str">
        <f>'Historic TCOS'!$F$3</f>
        <v>AEPTCo subsidiaries in PJM</v>
      </c>
      <c r="G3" s="89"/>
      <c r="H3" s="89"/>
      <c r="J3" s="17"/>
      <c r="K3" s="18"/>
      <c r="L3" s="18"/>
      <c r="M3" s="100"/>
    </row>
    <row r="4" spans="2:13" ht="15">
      <c r="B4" s="91"/>
      <c r="C4" s="13"/>
      <c r="D4" s="17"/>
      <c r="E4" s="19"/>
      <c r="F4" s="11" t="s">
        <v>63</v>
      </c>
      <c r="G4" s="89"/>
      <c r="H4" s="89"/>
      <c r="J4" s="19"/>
      <c r="K4" s="18"/>
      <c r="L4" s="18"/>
      <c r="M4" s="100"/>
    </row>
    <row r="5" spans="2:13" ht="15">
      <c r="B5" s="91"/>
      <c r="C5" s="13"/>
      <c r="D5" s="18"/>
      <c r="E5" s="18"/>
      <c r="F5" s="12" t="str">
        <f>"Utilizing  Historic Cost Data for "&amp;'Historic TCOS'!O1&amp;" and Projected Net Plant at Year-End "&amp;'Historic TCOS'!O2&amp;""</f>
        <v>Utilizing  Historic Cost Data for 2014 and Projected Net Plant at Year-End 2015</v>
      </c>
      <c r="G5" s="89"/>
      <c r="H5" s="89"/>
      <c r="J5" s="18"/>
      <c r="K5" s="18"/>
      <c r="L5" s="18"/>
      <c r="M5" s="100"/>
    </row>
    <row r="6" spans="2:13" ht="15">
      <c r="B6" s="92"/>
      <c r="C6" s="20"/>
      <c r="D6" s="18"/>
      <c r="H6" s="21"/>
      <c r="I6" s="21"/>
      <c r="J6" s="21"/>
      <c r="K6" s="21"/>
      <c r="L6" s="18"/>
      <c r="M6" s="18"/>
    </row>
    <row r="7" spans="2:13" ht="15">
      <c r="B7" s="92"/>
      <c r="C7" s="20"/>
      <c r="D7"/>
      <c r="E7" s="18"/>
      <c r="F7" s="471" t="str">
        <f>'Historic TCOS'!F7</f>
        <v>AEP KENTUCKY TRANSMISSION COMPANY</v>
      </c>
      <c r="G7" s="22"/>
      <c r="H7" s="18"/>
      <c r="I7" s="18"/>
      <c r="J7" s="18"/>
      <c r="K7" s="18"/>
      <c r="L7"/>
      <c r="M7" s="18"/>
    </row>
    <row r="8" spans="2:13" ht="15">
      <c r="B8" s="92"/>
      <c r="C8" s="20"/>
      <c r="D8" s="18"/>
      <c r="E8" s="18"/>
      <c r="F8" s="212"/>
      <c r="G8" s="22"/>
      <c r="H8" s="18"/>
      <c r="I8" s="18"/>
      <c r="J8" s="18"/>
      <c r="K8" s="18"/>
      <c r="L8"/>
      <c r="M8" s="18"/>
    </row>
    <row r="9" spans="2:13" ht="15.75" customHeight="1">
      <c r="B9" s="92" t="s">
        <v>608</v>
      </c>
      <c r="C9" s="20"/>
      <c r="D9" s="18"/>
      <c r="E9" s="18"/>
      <c r="F9" s="18"/>
      <c r="G9" s="22"/>
      <c r="H9" s="18"/>
      <c r="I9" s="18"/>
      <c r="J9" s="18"/>
      <c r="K9" s="18"/>
      <c r="L9" s="20" t="s">
        <v>556</v>
      </c>
      <c r="M9" s="18"/>
    </row>
    <row r="10" spans="2:13" ht="15" thickBot="1">
      <c r="B10" s="93" t="s">
        <v>558</v>
      </c>
      <c r="C10" s="25"/>
      <c r="D10" s="18"/>
      <c r="E10" s="25"/>
      <c r="F10" s="18"/>
      <c r="G10" s="18"/>
      <c r="H10" s="18"/>
      <c r="I10" s="18"/>
      <c r="J10" s="18"/>
      <c r="K10" s="18"/>
      <c r="L10" s="24" t="s">
        <v>609</v>
      </c>
      <c r="M10" s="18"/>
    </row>
    <row r="11" spans="2:14" ht="15">
      <c r="B11" s="92">
        <v>1</v>
      </c>
      <c r="C11" s="20"/>
      <c r="D11" s="87" t="s">
        <v>552</v>
      </c>
      <c r="E11" s="26" t="str">
        <f>"(ln "&amp;B211&amp;")"</f>
        <v>(ln 136)</v>
      </c>
      <c r="F11" s="26"/>
      <c r="G11" s="27"/>
      <c r="H11" s="28"/>
      <c r="I11" s="18"/>
      <c r="J11" s="18"/>
      <c r="K11" s="18"/>
      <c r="L11" s="69">
        <f>+L211</f>
        <v>3317707.7985778847</v>
      </c>
      <c r="M11" s="18"/>
      <c r="N11" s="924"/>
    </row>
    <row r="12" spans="2:13" ht="15" thickBot="1">
      <c r="B12" s="92"/>
      <c r="C12" s="20"/>
      <c r="E12" s="289"/>
      <c r="F12" s="29"/>
      <c r="G12" s="24" t="s">
        <v>559</v>
      </c>
      <c r="H12" s="19"/>
      <c r="I12" s="30" t="s">
        <v>560</v>
      </c>
      <c r="J12" s="30"/>
      <c r="K12" s="18"/>
      <c r="L12" s="27"/>
      <c r="M12" s="18"/>
    </row>
    <row r="13" spans="2:13" ht="15">
      <c r="B13" s="92">
        <f>+B11+1</f>
        <v>2</v>
      </c>
      <c r="C13" s="20"/>
      <c r="D13" s="88" t="s">
        <v>607</v>
      </c>
      <c r="E13" s="308" t="s">
        <v>949</v>
      </c>
      <c r="F13" s="29"/>
      <c r="G13" s="129">
        <f>+'WS E Rev Credits'!K25</f>
        <v>0</v>
      </c>
      <c r="H13" s="29"/>
      <c r="I13" s="49" t="s">
        <v>569</v>
      </c>
      <c r="J13" s="50">
        <f>VLOOKUP(I13,APCo_Proj_Allocators,2,FALSE)</f>
        <v>1</v>
      </c>
      <c r="K13" s="19"/>
      <c r="L13" s="156">
        <f>+J13*G13</f>
        <v>0</v>
      </c>
      <c r="M13" s="18"/>
    </row>
    <row r="14" spans="2:13" ht="15">
      <c r="B14" s="92"/>
      <c r="C14" s="20"/>
      <c r="D14" s="88"/>
      <c r="F14" s="19"/>
      <c r="L14" s="547"/>
      <c r="M14" s="18"/>
    </row>
    <row r="15" spans="2:14" ht="15" thickBot="1">
      <c r="B15" s="96">
        <f>+B13+1</f>
        <v>3</v>
      </c>
      <c r="C15" s="80"/>
      <c r="D15" s="138" t="s">
        <v>164</v>
      </c>
      <c r="E15" s="105" t="str">
        <f>"(ln "&amp;B11&amp;" less ln "&amp;B13&amp;")"</f>
        <v>(ln 1 less ln 2)</v>
      </c>
      <c r="F15" s="18"/>
      <c r="H15" s="19"/>
      <c r="I15" s="32"/>
      <c r="J15" s="19"/>
      <c r="K15" s="19"/>
      <c r="L15" s="288">
        <f>+L11-L13</f>
        <v>3317707.7985778847</v>
      </c>
      <c r="M15" s="18"/>
      <c r="N15" s="575"/>
    </row>
    <row r="16" spans="2:13" ht="15" thickTop="1">
      <c r="B16" s="96"/>
      <c r="C16" s="80"/>
      <c r="D16" s="88"/>
      <c r="E16" s="105"/>
      <c r="F16" s="18"/>
      <c r="H16" s="19"/>
      <c r="I16" s="32"/>
      <c r="J16" s="19"/>
      <c r="K16" s="19"/>
      <c r="L16" s="106"/>
      <c r="M16" s="18"/>
    </row>
    <row r="17" spans="2:9" ht="15" customHeight="1">
      <c r="B17" s="1168"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68"/>
      <c r="D17" s="1168"/>
      <c r="E17" s="1168"/>
      <c r="F17" s="1168"/>
      <c r="G17" s="1168"/>
      <c r="H17" s="1168"/>
      <c r="I17" s="1168"/>
    </row>
    <row r="18" spans="2:9" ht="36.75" customHeight="1">
      <c r="B18" s="1168"/>
      <c r="C18" s="1168"/>
      <c r="D18" s="1168"/>
      <c r="E18" s="1168"/>
      <c r="F18" s="1168"/>
      <c r="G18" s="1168"/>
      <c r="H18" s="1168"/>
      <c r="I18" s="1168"/>
    </row>
    <row r="19" spans="2:9" ht="15" customHeight="1">
      <c r="B19" s="636"/>
      <c r="C19" s="636"/>
      <c r="D19" s="636"/>
      <c r="E19" s="636"/>
      <c r="F19" s="636"/>
      <c r="G19" s="636"/>
      <c r="H19" s="636"/>
      <c r="I19" s="636"/>
    </row>
    <row r="20" spans="2:14" ht="15">
      <c r="B20" s="92">
        <f>+B15+1</f>
        <v>4</v>
      </c>
      <c r="C20" s="80"/>
      <c r="D20" s="307" t="s">
        <v>439</v>
      </c>
      <c r="E20" s="308"/>
      <c r="F20" s="29"/>
      <c r="G20" s="122">
        <f>+'WS J PROJECTED RTEP RR'!M24</f>
        <v>0</v>
      </c>
      <c r="H20" s="29"/>
      <c r="I20" s="49" t="s">
        <v>569</v>
      </c>
      <c r="J20" s="50">
        <f>VLOOKUP(I20,APCo_Proj_Allocators,2,FALSE)</f>
        <v>1</v>
      </c>
      <c r="K20" s="26"/>
      <c r="L20" s="309">
        <f>+J20*G20</f>
        <v>0</v>
      </c>
      <c r="M20" s="18"/>
      <c r="N20" s="924"/>
    </row>
    <row r="21" spans="2:13" ht="15">
      <c r="B21" s="92"/>
      <c r="C21" s="80"/>
      <c r="D21" s="307"/>
      <c r="E21" s="105"/>
      <c r="F21" s="29"/>
      <c r="G21" s="122"/>
      <c r="H21" s="29"/>
      <c r="I21" s="29"/>
      <c r="J21" s="50"/>
      <c r="K21" s="26"/>
      <c r="L21" s="309"/>
      <c r="M21" s="18"/>
    </row>
    <row r="22" spans="2:13" ht="15">
      <c r="B22" s="96">
        <f>+B20+1</f>
        <v>5</v>
      </c>
      <c r="C22" s="80"/>
      <c r="D22" s="307" t="s">
        <v>1024</v>
      </c>
      <c r="E22" s="308"/>
      <c r="F22" s="18"/>
      <c r="G22" s="653"/>
      <c r="H22" s="18"/>
      <c r="I22" s="13"/>
      <c r="J22" s="18"/>
      <c r="K22" s="18"/>
      <c r="M22" s="18"/>
    </row>
    <row r="23" spans="2:13" ht="15">
      <c r="B23" s="92">
        <f>B22+1</f>
        <v>6</v>
      </c>
      <c r="C23" s="80"/>
      <c r="D23" s="57" t="s">
        <v>858</v>
      </c>
      <c r="E23" s="26" t="str">
        <f>"( (ln "&amp;B11&amp;" - ln "&amp;B168&amp;" - ln "&amp;B169&amp;")/((ln "&amp;$B$91&amp;" + ln "&amp;$B$92&amp;" + ln "&amp;$B$93&amp;" + ln "&amp;$B$94&amp;" + ln "&amp;$B$96&amp;") x 100) )"</f>
        <v>( (ln 1 - ln 102 - ln 103)/((ln 48 + ln 49 + ln 50 + ln 51 + ln 53) x 100) )</v>
      </c>
      <c r="F23" s="20"/>
      <c r="G23" s="20"/>
      <c r="H23" s="20"/>
      <c r="I23" s="311"/>
      <c r="J23" s="311"/>
      <c r="K23" s="311"/>
      <c r="L23" s="312">
        <f>IF((SUM(SUM($L$91:$L$94),$L$96))=0,0,(L11-L168-L169)/(SUM(SUM($L$91:$L$94),$L$96)))</f>
        <v>0.12528102133166472</v>
      </c>
      <c r="M23" s="18"/>
    </row>
    <row r="24" spans="2:13" ht="15">
      <c r="B24" s="92">
        <f>B23+1</f>
        <v>7</v>
      </c>
      <c r="C24" s="80"/>
      <c r="D24" s="57" t="s">
        <v>859</v>
      </c>
      <c r="E24" s="26" t="str">
        <f>"(ln "&amp;B23&amp;" / 12)"</f>
        <v>(ln 6 / 12)</v>
      </c>
      <c r="F24" s="20"/>
      <c r="G24" s="20"/>
      <c r="H24" s="20"/>
      <c r="I24" s="311"/>
      <c r="J24" s="311"/>
      <c r="K24" s="311"/>
      <c r="L24" s="313">
        <f>L23/12</f>
        <v>0.01044008511097206</v>
      </c>
      <c r="M24" s="18"/>
    </row>
    <row r="25" spans="2:13" ht="15">
      <c r="B25" s="92"/>
      <c r="C25" s="80"/>
      <c r="D25" s="57"/>
      <c r="E25" s="26"/>
      <c r="F25" s="20"/>
      <c r="G25" s="20"/>
      <c r="H25" s="20"/>
      <c r="I25" s="311"/>
      <c r="J25" s="311"/>
      <c r="K25" s="311"/>
      <c r="L25" s="313"/>
      <c r="M25" s="18"/>
    </row>
    <row r="26" spans="2:13" ht="15">
      <c r="B26" s="92">
        <f>B24+1</f>
        <v>8</v>
      </c>
      <c r="C26" s="80"/>
      <c r="D26" s="307" t="str">
        <f>"NET PLANT CARRYING CHARGE ON LINE "&amp;B23&amp;" , w/o depreciation or ROE incentives (Note B)"</f>
        <v>NET PLANT CARRYING CHARGE ON LINE 6 , w/o depreciation or ROE incentives (Note B)</v>
      </c>
      <c r="E26" s="26"/>
      <c r="F26" s="20"/>
      <c r="G26" s="20"/>
      <c r="H26" s="20"/>
      <c r="I26" s="311"/>
      <c r="J26" s="311"/>
      <c r="K26" s="311"/>
      <c r="L26" s="313"/>
      <c r="M26" s="18"/>
    </row>
    <row r="27" spans="2:13" ht="15">
      <c r="B27" s="92">
        <f>B26+1</f>
        <v>9</v>
      </c>
      <c r="C27" s="80"/>
      <c r="D27" s="57" t="s">
        <v>858</v>
      </c>
      <c r="E27" s="26" t="str">
        <f>"( (ln "&amp;B11&amp;" - ln "&amp;B168&amp;" - ln "&amp;B169&amp;" - ln "&amp;B175&amp;"- ln "&amp;B176&amp;") /((ln "&amp;$B$91&amp;" + ln "&amp;$B$92&amp;" + ln "&amp;$B$93&amp;" + ln "&amp;$B$94&amp;" + ln "&amp;$B$96&amp;") x 100) )"</f>
        <v>( (ln 1 - ln 102 - ln 103 - ln 108- ln 109) /((ln 48 + ln 49 + ln 50 + ln 51 + ln 53) x 100) )</v>
      </c>
      <c r="F27" s="20"/>
      <c r="G27" s="20"/>
      <c r="H27" s="20"/>
      <c r="I27" s="311"/>
      <c r="J27" s="311"/>
      <c r="K27" s="311"/>
      <c r="L27" s="312">
        <f>IF((SUM(SUM($L$91:$L$94),$L$96))=0,0,(L11-L168-L169-L175-L176)/(SUM(SUM($L$91:$L$94),$L$96)))</f>
        <v>0.12165993744214068</v>
      </c>
      <c r="M27" s="18"/>
    </row>
    <row r="28" spans="2:13" ht="15">
      <c r="B28" s="92"/>
      <c r="C28" s="80"/>
      <c r="D28" s="57"/>
      <c r="E28" s="26"/>
      <c r="F28" s="20"/>
      <c r="G28" s="20"/>
      <c r="H28" s="20"/>
      <c r="I28" s="311"/>
      <c r="J28" s="311"/>
      <c r="K28" s="311"/>
      <c r="L28" s="313"/>
      <c r="M28" s="18"/>
    </row>
    <row r="29" spans="2:13" ht="15">
      <c r="B29" s="92">
        <f>B27+1</f>
        <v>10</v>
      </c>
      <c r="C29" s="80"/>
      <c r="D29" s="307" t="str">
        <f>"NET PLANT CARRYING CHARGE ON LINE "&amp;B27&amp;", w/o Return, income taxes or ROE incentives (Note B)"</f>
        <v>NET PLANT CARRYING CHARGE ON LINE 9, w/o Return, income taxes or ROE incentives (Note B)</v>
      </c>
      <c r="E29" s="26"/>
      <c r="F29" s="80"/>
      <c r="G29" s="80"/>
      <c r="H29" s="80"/>
      <c r="I29" s="805"/>
      <c r="J29" s="805"/>
      <c r="K29" s="805"/>
      <c r="L29" s="806"/>
      <c r="M29" s="18"/>
    </row>
    <row r="30" spans="2:14" ht="15">
      <c r="B30" s="92">
        <f>B29+1</f>
        <v>11</v>
      </c>
      <c r="C30" s="80"/>
      <c r="D30" s="57" t="s">
        <v>858</v>
      </c>
      <c r="E30" s="26" t="str">
        <f>"( (ln "&amp;B11&amp;" - ln "&amp;B168&amp;" - ln "&amp;B169&amp;" - ln "&amp;B175&amp;" - ln "&amp;B176&amp;" - ln "&amp;B201&amp;" - ln "&amp;B203&amp;") /((ln "&amp;$B$91&amp;" + ln "&amp;$B$92&amp;" + ln "&amp;$B$93&amp;" + ln "&amp;$B$94&amp;" + ln "&amp;$B$96&amp;") x 100) )"</f>
        <v>( (ln 1 - ln 102 - ln 103 - ln 108 - ln 109 - ln 131 - ln 132) /((ln 48 + ln 49 + ln 50 + ln 51 + ln 53) x 100) )</v>
      </c>
      <c r="F30" s="80"/>
      <c r="G30" s="80"/>
      <c r="H30" s="80"/>
      <c r="I30" s="805"/>
      <c r="J30" s="805"/>
      <c r="K30" s="805"/>
      <c r="L30" s="300">
        <f>IF((SUM(SUM($L$91:$L$94),$L$96))=0,0,(L11-L168-L169-L175-L176-L201-L203)/(SUM(SUM($L$91:$L$94),$L$96)))</f>
        <v>0.007444108398334395</v>
      </c>
      <c r="M30" s="551"/>
      <c r="N30" s="892"/>
    </row>
    <row r="31" spans="2:13" ht="15">
      <c r="B31" s="92"/>
      <c r="C31" s="80"/>
      <c r="D31" s="17"/>
      <c r="E31" s="26"/>
      <c r="F31" s="20"/>
      <c r="G31" s="20"/>
      <c r="H31" s="20"/>
      <c r="I31" s="311"/>
      <c r="J31" s="311"/>
      <c r="K31" s="311"/>
      <c r="L31" s="312"/>
      <c r="M31" s="552"/>
    </row>
    <row r="32" spans="2:13" ht="15">
      <c r="B32" s="92">
        <f>B30+1</f>
        <v>12</v>
      </c>
      <c r="C32" s="20"/>
      <c r="D32" s="465" t="s">
        <v>163</v>
      </c>
      <c r="E32" s="26"/>
      <c r="F32" s="20"/>
      <c r="G32" s="20"/>
      <c r="H32" s="20"/>
      <c r="I32" s="311"/>
      <c r="J32" s="311"/>
      <c r="K32" s="311"/>
      <c r="L32" s="122">
        <f>+'WS J PROJECTED RTEP RR'!O24</f>
        <v>0</v>
      </c>
      <c r="M32" s="18"/>
    </row>
    <row r="33" spans="2:14" ht="15">
      <c r="B33" s="92"/>
      <c r="C33" s="20"/>
      <c r="D33" s="13"/>
      <c r="E33" s="26"/>
      <c r="F33" s="20"/>
      <c r="G33" s="20"/>
      <c r="H33" s="20"/>
      <c r="I33" s="311"/>
      <c r="J33" s="311"/>
      <c r="K33" s="311"/>
      <c r="L33" s="312"/>
      <c r="M33" s="18"/>
      <c r="N33" s="312"/>
    </row>
    <row r="34" spans="2:14" ht="15">
      <c r="B34" s="16"/>
      <c r="C34" s="20"/>
      <c r="D34" s="13"/>
      <c r="E34" s="26"/>
      <c r="F34" s="20"/>
      <c r="G34" s="20"/>
      <c r="H34" s="20"/>
      <c r="I34" s="311"/>
      <c r="J34" s="311"/>
      <c r="K34" s="311"/>
      <c r="L34" s="312"/>
      <c r="M34" s="18"/>
      <c r="N34" s="312"/>
    </row>
    <row r="35" spans="2:13" ht="15">
      <c r="B35" s="92">
        <f>+B32+1</f>
        <v>13</v>
      </c>
      <c r="C35" s="20"/>
      <c r="D35" s="1177" t="s">
        <v>82</v>
      </c>
      <c r="E35" s="1177"/>
      <c r="F35" s="1177"/>
      <c r="G35" s="1177"/>
      <c r="H35" s="1177"/>
      <c r="I35" s="1177"/>
      <c r="J35" s="1177"/>
      <c r="K35" s="1177"/>
      <c r="L35" s="1177"/>
      <c r="M35" s="18"/>
    </row>
    <row r="36" spans="2:13" ht="15">
      <c r="B36" s="92"/>
      <c r="C36" s="20"/>
      <c r="D36" s="13"/>
      <c r="E36" s="26"/>
      <c r="F36" s="20"/>
      <c r="G36" s="20"/>
      <c r="H36" s="20"/>
      <c r="I36" s="311"/>
      <c r="J36" s="311"/>
      <c r="K36" s="311"/>
      <c r="L36" s="312"/>
      <c r="M36" s="18"/>
    </row>
    <row r="37" spans="2:13" ht="15">
      <c r="B37" s="92">
        <f>+B35+1</f>
        <v>14</v>
      </c>
      <c r="C37" s="20"/>
      <c r="D37" s="87" t="s">
        <v>84</v>
      </c>
      <c r="E37" s="26" t="str">
        <f>"Line "&amp;B149&amp;" Below"</f>
        <v>Line 85 Below</v>
      </c>
      <c r="F37" s="20"/>
      <c r="H37" s="20"/>
      <c r="I37" s="311"/>
      <c r="J37" s="311"/>
      <c r="K37" s="311"/>
      <c r="L37" s="128">
        <f>+G149</f>
        <v>238</v>
      </c>
      <c r="M37" s="18"/>
    </row>
    <row r="38" spans="2:13" ht="15">
      <c r="B38" s="92">
        <f>+B37+1</f>
        <v>15</v>
      </c>
      <c r="C38" s="20"/>
      <c r="D38" s="87" t="s">
        <v>268</v>
      </c>
      <c r="E38" s="18"/>
      <c r="F38" s="20"/>
      <c r="H38" s="20"/>
      <c r="I38" s="311"/>
      <c r="J38" s="311"/>
      <c r="K38" s="311"/>
      <c r="L38" s="1089">
        <v>238</v>
      </c>
      <c r="M38" s="18"/>
    </row>
    <row r="39" spans="2:13" ht="15">
      <c r="B39" s="92">
        <f>+B38+1</f>
        <v>16</v>
      </c>
      <c r="C39" s="20"/>
      <c r="D39" s="87" t="s">
        <v>269</v>
      </c>
      <c r="E39" s="18"/>
      <c r="F39" s="20"/>
      <c r="H39" s="20"/>
      <c r="I39" s="311"/>
      <c r="J39" s="311"/>
      <c r="K39" s="311"/>
      <c r="L39" s="1089">
        <v>0</v>
      </c>
      <c r="M39" s="18"/>
    </row>
    <row r="40" spans="2:13" ht="15">
      <c r="B40" s="92"/>
      <c r="C40" s="20"/>
      <c r="E40" s="18"/>
      <c r="F40" s="20"/>
      <c r="H40" s="20"/>
      <c r="I40" s="311"/>
      <c r="J40" s="311"/>
      <c r="K40" s="311"/>
      <c r="L40" s="20"/>
      <c r="M40" s="18"/>
    </row>
    <row r="41" spans="2:13" ht="15" thickBot="1">
      <c r="B41" s="92">
        <f>+B39+1</f>
        <v>17</v>
      </c>
      <c r="C41" s="20"/>
      <c r="D41" s="87" t="s">
        <v>83</v>
      </c>
      <c r="E41" s="28" t="str">
        <f>"(Line "&amp;B37&amp;" - Line "&amp;B38&amp;" - Line "&amp;B39&amp;")"</f>
        <v>(Line 14 - Line 15 - Line 16)</v>
      </c>
      <c r="F41" s="20"/>
      <c r="H41" s="20"/>
      <c r="I41" s="311"/>
      <c r="J41" s="311"/>
      <c r="K41" s="311"/>
      <c r="L41" s="607">
        <f>+L37-L38-L39</f>
        <v>0</v>
      </c>
      <c r="M41" s="18"/>
    </row>
    <row r="42" spans="2:13" ht="15" thickTop="1">
      <c r="B42" s="92"/>
      <c r="C42" s="20"/>
      <c r="D42" s="13"/>
      <c r="E42" s="26"/>
      <c r="F42" s="20"/>
      <c r="G42" s="20"/>
      <c r="H42" s="20"/>
      <c r="I42" s="311"/>
      <c r="J42" s="311"/>
      <c r="K42" s="311"/>
      <c r="L42" s="312"/>
      <c r="M42" s="18"/>
    </row>
    <row r="43" spans="2:13" ht="15">
      <c r="B43" s="92"/>
      <c r="C43" s="20"/>
      <c r="D43" s="13"/>
      <c r="E43" s="26"/>
      <c r="F43" s="20"/>
      <c r="G43" s="20"/>
      <c r="H43" s="20"/>
      <c r="I43" s="311"/>
      <c r="J43" s="311"/>
      <c r="K43" s="311"/>
      <c r="L43" s="312"/>
      <c r="M43" s="18"/>
    </row>
    <row r="44" spans="2:13" ht="15">
      <c r="B44" s="92"/>
      <c r="C44" s="20"/>
      <c r="D44" s="13"/>
      <c r="E44" s="26"/>
      <c r="F44" s="20"/>
      <c r="G44" s="20"/>
      <c r="H44" s="20"/>
      <c r="I44" s="311"/>
      <c r="J44" s="311"/>
      <c r="K44" s="311"/>
      <c r="L44" s="312"/>
      <c r="M44" s="18"/>
    </row>
    <row r="45" spans="2:13" ht="15">
      <c r="B45" s="91"/>
      <c r="C45" s="13"/>
      <c r="D45" s="17"/>
      <c r="E45" s="17"/>
      <c r="G45" s="28"/>
      <c r="H45" s="17"/>
      <c r="I45" s="17"/>
      <c r="J45" s="17"/>
      <c r="K45" s="17"/>
      <c r="L45" s="17"/>
      <c r="M45" s="200"/>
    </row>
    <row r="46" spans="2:13" ht="15">
      <c r="B46" s="91"/>
      <c r="C46" s="13"/>
      <c r="D46" s="17"/>
      <c r="E46" s="17"/>
      <c r="F46" s="20"/>
      <c r="G46" s="28"/>
      <c r="H46" s="17"/>
      <c r="I46" s="17"/>
      <c r="J46" s="17"/>
      <c r="K46" s="17"/>
      <c r="L46" s="17"/>
      <c r="M46" s="200"/>
    </row>
    <row r="47" spans="2:13" ht="15">
      <c r="B47" s="91"/>
      <c r="C47" s="13"/>
      <c r="D47" s="17"/>
      <c r="E47" s="17"/>
      <c r="F47" s="20" t="str">
        <f>F3</f>
        <v>AEPTCo subsidiaries in PJM</v>
      </c>
      <c r="G47" s="28"/>
      <c r="H47" s="17"/>
      <c r="I47" s="17"/>
      <c r="J47" s="17"/>
      <c r="K47" s="17"/>
      <c r="L47" s="17"/>
      <c r="M47" s="200"/>
    </row>
    <row r="48" spans="2:13" ht="15">
      <c r="B48" s="91"/>
      <c r="C48" s="13"/>
      <c r="D48" s="17"/>
      <c r="E48" s="19"/>
      <c r="F48" s="20" t="str">
        <f>F4</f>
        <v>Transmission Cost of Service Formula Rate</v>
      </c>
      <c r="G48" s="19"/>
      <c r="H48" s="19"/>
      <c r="I48" s="19"/>
      <c r="J48" s="19"/>
      <c r="K48" s="19"/>
      <c r="L48" s="19"/>
      <c r="M48" s="553"/>
    </row>
    <row r="49" spans="2:13" ht="15">
      <c r="B49" s="91"/>
      <c r="C49" s="13"/>
      <c r="D49" s="17"/>
      <c r="E49" s="19"/>
      <c r="F49" s="32" t="str">
        <f>F5</f>
        <v>Utilizing  Historic Cost Data for 2014 and Projected Net Plant at Year-End 2015</v>
      </c>
      <c r="G49" s="19"/>
      <c r="H49" s="19"/>
      <c r="I49" s="19"/>
      <c r="J49" s="19"/>
      <c r="K49" s="19"/>
      <c r="L49" s="19"/>
      <c r="M49" s="145"/>
    </row>
    <row r="50" spans="2:13" ht="15">
      <c r="B50" s="91"/>
      <c r="C50" s="13"/>
      <c r="D50" s="17"/>
      <c r="E50" s="19"/>
      <c r="F50" s="20"/>
      <c r="G50" s="19"/>
      <c r="H50" s="19"/>
      <c r="I50" s="19"/>
      <c r="J50" s="19"/>
      <c r="K50" s="19"/>
      <c r="L50" s="19"/>
      <c r="M50" s="19"/>
    </row>
    <row r="51" spans="2:13" ht="15">
      <c r="B51" s="91"/>
      <c r="C51" s="13"/>
      <c r="D51" s="17"/>
      <c r="E51" s="19"/>
      <c r="F51" s="20" t="str">
        <f>F7</f>
        <v>AEP KENTUCKY TRANSMISSION COMPANY</v>
      </c>
      <c r="G51" s="19"/>
      <c r="H51" s="19"/>
      <c r="I51" s="19"/>
      <c r="J51" s="19"/>
      <c r="K51" s="19"/>
      <c r="L51" s="19"/>
      <c r="M51" s="19"/>
    </row>
    <row r="52" spans="2:13" ht="15">
      <c r="B52" s="91"/>
      <c r="C52" s="13"/>
      <c r="D52" s="17"/>
      <c r="E52" s="32"/>
      <c r="F52" s="32"/>
      <c r="G52" s="32"/>
      <c r="H52" s="32"/>
      <c r="I52" s="32"/>
      <c r="J52" s="32"/>
      <c r="K52" s="32"/>
      <c r="L52" s="19"/>
      <c r="M52" s="19"/>
    </row>
    <row r="53" spans="2:13" ht="15">
      <c r="B53" s="91"/>
      <c r="C53" s="13"/>
      <c r="D53" s="20" t="s">
        <v>562</v>
      </c>
      <c r="E53" s="20" t="s">
        <v>563</v>
      </c>
      <c r="F53" s="20"/>
      <c r="G53" s="20" t="s">
        <v>564</v>
      </c>
      <c r="H53" s="19" t="s">
        <v>555</v>
      </c>
      <c r="I53" s="1169" t="s">
        <v>565</v>
      </c>
      <c r="J53" s="1170"/>
      <c r="K53" s="19"/>
      <c r="L53" s="21" t="s">
        <v>566</v>
      </c>
      <c r="M53" s="19"/>
    </row>
    <row r="54" spans="2:13" ht="15">
      <c r="B54" s="16"/>
      <c r="C54" s="13"/>
      <c r="D54"/>
      <c r="E54"/>
      <c r="F54"/>
      <c r="G54" s="128"/>
      <c r="H54" s="19"/>
      <c r="I54" s="19"/>
      <c r="J54" s="34"/>
      <c r="K54" s="19"/>
      <c r="L54" s="13"/>
      <c r="M54" s="19"/>
    </row>
    <row r="55" spans="2:13" ht="15">
      <c r="B55" s="94"/>
      <c r="C55" s="20"/>
      <c r="D55"/>
      <c r="E55" s="35" t="s">
        <v>533</v>
      </c>
      <c r="F55" s="37"/>
      <c r="G55" s="19"/>
      <c r="H55" s="19"/>
      <c r="I55" s="19"/>
      <c r="J55" s="20"/>
      <c r="K55" s="19"/>
      <c r="L55" s="36" t="s">
        <v>559</v>
      </c>
      <c r="M55" s="19"/>
    </row>
    <row r="56" spans="2:13" ht="15">
      <c r="B56" s="16"/>
      <c r="C56" s="25"/>
      <c r="D56" s="55" t="s">
        <v>532</v>
      </c>
      <c r="E56" s="117" t="s">
        <v>553</v>
      </c>
      <c r="F56" s="19"/>
      <c r="G56" s="55" t="s">
        <v>519</v>
      </c>
      <c r="H56" s="39"/>
      <c r="I56" s="1180" t="s">
        <v>560</v>
      </c>
      <c r="J56" s="1181"/>
      <c r="K56" s="39"/>
      <c r="L56" s="55" t="s">
        <v>556</v>
      </c>
      <c r="M56" s="19"/>
    </row>
    <row r="57" spans="2:13" ht="15">
      <c r="B57" s="97" t="str">
        <f>B9</f>
        <v>Line</v>
      </c>
      <c r="C57" s="20"/>
      <c r="D57" s="17"/>
      <c r="E57" s="19"/>
      <c r="F57" s="19"/>
      <c r="G57" s="472" t="s">
        <v>984</v>
      </c>
      <c r="H57" s="19"/>
      <c r="I57" s="19"/>
      <c r="J57" s="845"/>
      <c r="K57" s="19"/>
      <c r="L57" s="19"/>
      <c r="M57" s="19"/>
    </row>
    <row r="58" spans="2:13" ht="15" thickBot="1">
      <c r="B58" s="93" t="str">
        <f>B10</f>
        <v>No.</v>
      </c>
      <c r="C58" s="20"/>
      <c r="D58" s="17" t="s">
        <v>520</v>
      </c>
      <c r="E58" s="41"/>
      <c r="F58" s="41"/>
      <c r="G58" s="29"/>
      <c r="H58" s="29"/>
      <c r="I58" s="49"/>
      <c r="J58" s="29"/>
      <c r="K58" s="29"/>
      <c r="L58" s="29"/>
      <c r="M58" s="19"/>
    </row>
    <row r="59" spans="2:14" ht="15">
      <c r="B59" s="92">
        <f>+B41+1</f>
        <v>18</v>
      </c>
      <c r="C59" s="20"/>
      <c r="D59" s="1019" t="s">
        <v>877</v>
      </c>
      <c r="E59" s="29"/>
      <c r="F59" s="29"/>
      <c r="G59" s="122"/>
      <c r="H59" s="122"/>
      <c r="I59" s="49"/>
      <c r="J59" s="50"/>
      <c r="K59" s="29"/>
      <c r="L59" s="122"/>
      <c r="M59" s="19"/>
      <c r="N59" s="575"/>
    </row>
    <row r="60" spans="2:14" ht="15">
      <c r="B60" s="92">
        <f aca="true" t="shared" si="0" ref="B60:B70">+B59+1</f>
        <v>19</v>
      </c>
      <c r="C60" s="20"/>
      <c r="D60" s="1019" t="s">
        <v>877</v>
      </c>
      <c r="E60" s="29"/>
      <c r="F60" s="29"/>
      <c r="G60" s="122"/>
      <c r="H60" s="122"/>
      <c r="I60" s="49"/>
      <c r="J60" s="50"/>
      <c r="K60" s="29"/>
      <c r="L60" s="122"/>
      <c r="M60" s="19"/>
      <c r="N60" s="575"/>
    </row>
    <row r="61" spans="2:14" ht="15">
      <c r="B61" s="92">
        <f t="shared" si="0"/>
        <v>20</v>
      </c>
      <c r="C61" s="44"/>
      <c r="D61" s="45" t="s">
        <v>568</v>
      </c>
      <c r="E61" s="29" t="str">
        <f>"(Worksheet A ln "&amp;'WS A  - RB Support '!A19&amp;".C &amp; Ln "&amp;B227&amp;")"</f>
        <v>(Worksheet A ln 3.C &amp; Ln 140)</v>
      </c>
      <c r="F61" s="29"/>
      <c r="G61" s="122">
        <f>+'WS A  - RB Support '!E19</f>
        <v>0</v>
      </c>
      <c r="H61" s="122"/>
      <c r="I61" s="284" t="s">
        <v>569</v>
      </c>
      <c r="J61" s="29"/>
      <c r="K61" s="278"/>
      <c r="L61" s="285">
        <f>+L227</f>
        <v>0</v>
      </c>
      <c r="M61" s="47"/>
      <c r="N61" s="575"/>
    </row>
    <row r="62" spans="2:14" ht="15">
      <c r="B62" s="92">
        <f t="shared" si="0"/>
        <v>21</v>
      </c>
      <c r="C62" s="44"/>
      <c r="D62" s="61" t="s">
        <v>5</v>
      </c>
      <c r="E62" s="29" t="str">
        <f>"(Worksheet A ln "&amp;'WS A  - RB Support '!A21&amp;".C&amp; Ln "&amp;B229&amp;")"</f>
        <v>(Worksheet A ln 4.C&amp; Ln 141)</v>
      </c>
      <c r="F62" s="29"/>
      <c r="G62" s="122">
        <f>-+'WS A  - RB Support '!E21</f>
        <v>0</v>
      </c>
      <c r="H62" s="122"/>
      <c r="I62" s="284" t="s">
        <v>561</v>
      </c>
      <c r="J62" s="50">
        <f aca="true" t="shared" si="1" ref="J62:J69">VLOOKUP(I62,APCo_Proj_Allocators,2,FALSE)</f>
        <v>1</v>
      </c>
      <c r="K62" s="278"/>
      <c r="L62" s="285">
        <f>+G62*J62</f>
        <v>0</v>
      </c>
      <c r="M62" s="47"/>
      <c r="N62" s="575"/>
    </row>
    <row r="63" spans="2:14" ht="15">
      <c r="B63" s="92">
        <f t="shared" si="0"/>
        <v>22</v>
      </c>
      <c r="C63" s="44"/>
      <c r="D63" s="466" t="s">
        <v>440</v>
      </c>
      <c r="E63" s="46"/>
      <c r="F63" s="46"/>
      <c r="G63" s="122">
        <f>+'WS I Projected Plant'!D34</f>
        <v>26578020.050000004</v>
      </c>
      <c r="H63" s="692"/>
      <c r="I63" s="284" t="s">
        <v>569</v>
      </c>
      <c r="J63" s="50">
        <f t="shared" si="1"/>
        <v>1</v>
      </c>
      <c r="K63" s="278"/>
      <c r="L63" s="285">
        <f>+G63*J63</f>
        <v>26578020.050000004</v>
      </c>
      <c r="M63" s="47"/>
      <c r="N63" s="575"/>
    </row>
    <row r="64" spans="2:14" ht="15">
      <c r="B64" s="92">
        <f t="shared" si="0"/>
        <v>23</v>
      </c>
      <c r="C64" s="44"/>
      <c r="D64" s="466" t="s">
        <v>441</v>
      </c>
      <c r="E64" s="41"/>
      <c r="F64" s="41"/>
      <c r="G64" s="122">
        <f>+'WS I Projected Plant'!D37</f>
        <v>0</v>
      </c>
      <c r="H64" s="692"/>
      <c r="I64" s="284" t="s">
        <v>569</v>
      </c>
      <c r="J64" s="50">
        <f t="shared" si="1"/>
        <v>1</v>
      </c>
      <c r="K64" s="19"/>
      <c r="L64" s="285">
        <f>+G64*J64</f>
        <v>0</v>
      </c>
      <c r="M64" s="47"/>
      <c r="N64" s="575"/>
    </row>
    <row r="65" spans="2:14" ht="15">
      <c r="B65" s="92">
        <f t="shared" si="0"/>
        <v>24</v>
      </c>
      <c r="C65" s="44"/>
      <c r="D65" s="1019" t="s">
        <v>877</v>
      </c>
      <c r="E65" s="29"/>
      <c r="F65" s="29"/>
      <c r="G65" s="122"/>
      <c r="H65" s="122"/>
      <c r="I65" s="49"/>
      <c r="J65" s="50"/>
      <c r="K65" s="29"/>
      <c r="L65" s="122"/>
      <c r="M65" s="19"/>
      <c r="N65" s="575"/>
    </row>
    <row r="66" spans="2:14" ht="15">
      <c r="B66" s="92">
        <f t="shared" si="0"/>
        <v>25</v>
      </c>
      <c r="C66" s="44"/>
      <c r="D66" s="1019" t="s">
        <v>877</v>
      </c>
      <c r="E66" s="29"/>
      <c r="F66" s="29"/>
      <c r="G66" s="122"/>
      <c r="H66" s="122"/>
      <c r="I66" s="49"/>
      <c r="J66" s="50"/>
      <c r="K66" s="29"/>
      <c r="L66" s="122"/>
      <c r="M66" s="19"/>
      <c r="N66" s="575"/>
    </row>
    <row r="67" spans="2:14" ht="15">
      <c r="B67" s="92">
        <f t="shared" si="0"/>
        <v>26</v>
      </c>
      <c r="C67" s="44"/>
      <c r="D67" s="17" t="s">
        <v>570</v>
      </c>
      <c r="E67" s="29" t="s">
        <v>442</v>
      </c>
      <c r="F67" s="29"/>
      <c r="G67" s="122">
        <f>+'WS A  - RB Support '!E27</f>
        <v>0</v>
      </c>
      <c r="H67" s="122"/>
      <c r="I67" s="49" t="s">
        <v>571</v>
      </c>
      <c r="J67" s="50">
        <f t="shared" si="1"/>
        <v>0.9987295825771325</v>
      </c>
      <c r="K67" s="29"/>
      <c r="L67" s="122">
        <f>+J67*G67</f>
        <v>0</v>
      </c>
      <c r="M67" s="19"/>
      <c r="N67" s="575"/>
    </row>
    <row r="68" spans="2:14" ht="15">
      <c r="B68" s="92">
        <f t="shared" si="0"/>
        <v>27</v>
      </c>
      <c r="C68" s="44"/>
      <c r="D68" s="42" t="s">
        <v>4</v>
      </c>
      <c r="E68" s="29" t="s">
        <v>443</v>
      </c>
      <c r="F68" s="29"/>
      <c r="G68" s="122">
        <f>-'WS A  - RB Support '!E29</f>
        <v>0</v>
      </c>
      <c r="H68" s="122"/>
      <c r="I68" s="49" t="s">
        <v>571</v>
      </c>
      <c r="J68" s="50">
        <f t="shared" si="1"/>
        <v>0.9987295825771325</v>
      </c>
      <c r="K68" s="29"/>
      <c r="L68" s="122">
        <f>+G68*J68</f>
        <v>0</v>
      </c>
      <c r="M68" s="19"/>
      <c r="N68" s="575"/>
    </row>
    <row r="69" spans="2:14" ht="15" thickBot="1">
      <c r="B69" s="92">
        <f t="shared" si="0"/>
        <v>28</v>
      </c>
      <c r="C69" s="44"/>
      <c r="D69" s="17" t="s">
        <v>572</v>
      </c>
      <c r="E69" s="29" t="s">
        <v>444</v>
      </c>
      <c r="F69" s="29"/>
      <c r="G69" s="123">
        <f>+'WS A  - RB Support '!E31</f>
        <v>0</v>
      </c>
      <c r="H69" s="122"/>
      <c r="I69" s="49" t="s">
        <v>571</v>
      </c>
      <c r="J69" s="50">
        <f t="shared" si="1"/>
        <v>0.9987295825771325</v>
      </c>
      <c r="K69" s="29"/>
      <c r="L69" s="123">
        <f>+J69*G69</f>
        <v>0</v>
      </c>
      <c r="M69" s="19"/>
      <c r="N69" s="575"/>
    </row>
    <row r="70" spans="2:14" ht="15">
      <c r="B70" s="94">
        <f t="shared" si="0"/>
        <v>29</v>
      </c>
      <c r="C70" s="44"/>
      <c r="D70" s="17" t="s">
        <v>518</v>
      </c>
      <c r="E70" s="29" t="str">
        <f>"(Sum of Lines: "&amp;B61&amp;" to "&amp;B64&amp;" &amp; "&amp;B67&amp;" to "&amp;B69&amp;")"</f>
        <v>(Sum of Lines: 20 to 23 &amp; 26 to 28)</v>
      </c>
      <c r="F70" s="693"/>
      <c r="G70" s="122">
        <f>SUM(G59:G69)</f>
        <v>26578020.050000004</v>
      </c>
      <c r="H70" s="122"/>
      <c r="I70" s="292"/>
      <c r="J70" s="109"/>
      <c r="K70" s="29"/>
      <c r="L70" s="122">
        <f>SUM(L59:L69)</f>
        <v>26578020.050000004</v>
      </c>
      <c r="M70" s="19"/>
      <c r="N70" s="575"/>
    </row>
    <row r="71" spans="2:14" ht="15">
      <c r="B71" s="94"/>
      <c r="C71" s="20"/>
      <c r="D71" s="17"/>
      <c r="E71" s="353"/>
      <c r="F71" s="693"/>
      <c r="G71" s="122"/>
      <c r="H71" s="122"/>
      <c r="I71" s="292"/>
      <c r="J71" s="293"/>
      <c r="K71" s="29"/>
      <c r="L71" s="122"/>
      <c r="M71" s="19"/>
      <c r="N71" s="575"/>
    </row>
    <row r="72" spans="2:14" ht="15">
      <c r="B72" s="92">
        <f>+B70+1</f>
        <v>30</v>
      </c>
      <c r="C72" s="20"/>
      <c r="D72" s="17" t="s">
        <v>496</v>
      </c>
      <c r="E72" s="41"/>
      <c r="F72" s="41"/>
      <c r="G72" s="122"/>
      <c r="H72" s="294"/>
      <c r="I72" s="49"/>
      <c r="J72" s="295"/>
      <c r="K72" s="29"/>
      <c r="L72" s="122"/>
      <c r="M72" s="19"/>
      <c r="N72" s="575"/>
    </row>
    <row r="73" spans="2:14" ht="15">
      <c r="B73" s="92">
        <f aca="true" t="shared" si="2" ref="B73:B87">+B72+1</f>
        <v>31</v>
      </c>
      <c r="C73" s="20"/>
      <c r="D73" s="1019" t="s">
        <v>877</v>
      </c>
      <c r="E73" s="29"/>
      <c r="F73" s="29"/>
      <c r="G73" s="122"/>
      <c r="H73" s="122"/>
      <c r="I73" s="49"/>
      <c r="J73" s="50"/>
      <c r="K73" s="29"/>
      <c r="L73" s="122"/>
      <c r="M73" s="19"/>
      <c r="N73" s="575"/>
    </row>
    <row r="74" spans="2:14" ht="15">
      <c r="B74" s="92">
        <f t="shared" si="2"/>
        <v>32</v>
      </c>
      <c r="C74" s="20"/>
      <c r="D74" s="1019" t="s">
        <v>877</v>
      </c>
      <c r="E74" s="29"/>
      <c r="F74" s="29"/>
      <c r="G74" s="122"/>
      <c r="H74" s="122"/>
      <c r="I74" s="49"/>
      <c r="J74" s="50"/>
      <c r="K74" s="29"/>
      <c r="L74" s="122"/>
      <c r="M74" s="19"/>
      <c r="N74" s="575"/>
    </row>
    <row r="75" spans="2:14" ht="15">
      <c r="B75" s="92">
        <f t="shared" si="2"/>
        <v>33</v>
      </c>
      <c r="C75" s="44"/>
      <c r="D75" s="45" t="str">
        <f>D61</f>
        <v>  Transmission</v>
      </c>
      <c r="E75" s="29" t="s">
        <v>445</v>
      </c>
      <c r="F75" s="29"/>
      <c r="G75" s="285">
        <f>+'WS A  - RB Support '!E43</f>
        <v>0</v>
      </c>
      <c r="H75" s="122"/>
      <c r="I75" s="296" t="s">
        <v>499</v>
      </c>
      <c r="J75" s="297">
        <f>IF(G75=0,1,L75/G75)</f>
        <v>1</v>
      </c>
      <c r="K75" s="278"/>
      <c r="L75" s="122">
        <f>+'WS A  - RB Support '!E75</f>
        <v>0</v>
      </c>
      <c r="M75" s="47"/>
      <c r="N75" s="575"/>
    </row>
    <row r="76" spans="2:14" ht="15">
      <c r="B76" s="92">
        <f t="shared" si="2"/>
        <v>34</v>
      </c>
      <c r="C76" s="44"/>
      <c r="D76" s="42" t="s">
        <v>5</v>
      </c>
      <c r="E76" s="29" t="s">
        <v>446</v>
      </c>
      <c r="F76" s="29"/>
      <c r="G76" s="122">
        <f>-'WS A  - RB Support '!E45</f>
        <v>0</v>
      </c>
      <c r="H76" s="122"/>
      <c r="I76" s="296" t="s">
        <v>499</v>
      </c>
      <c r="J76" s="50">
        <f>+J75</f>
        <v>1</v>
      </c>
      <c r="K76" s="278"/>
      <c r="L76" s="122">
        <f aca="true" t="shared" si="3" ref="L76:L81">+G76*J76</f>
        <v>0</v>
      </c>
      <c r="M76" s="47"/>
      <c r="N76" s="575"/>
    </row>
    <row r="77" spans="2:14" ht="15">
      <c r="B77" s="92">
        <f t="shared" si="2"/>
        <v>35</v>
      </c>
      <c r="C77" s="44"/>
      <c r="D77" s="466" t="s">
        <v>447</v>
      </c>
      <c r="E77" s="46"/>
      <c r="F77" s="46"/>
      <c r="G77" s="122">
        <f>+'WS I Projected Plant'!I34</f>
        <v>95894</v>
      </c>
      <c r="H77" s="102"/>
      <c r="I77" s="284" t="s">
        <v>569</v>
      </c>
      <c r="J77" s="50">
        <f aca="true" t="shared" si="4" ref="J77:J86">VLOOKUP(I77,APCo_Proj_Allocators,2,FALSE)</f>
        <v>1</v>
      </c>
      <c r="K77" s="278"/>
      <c r="L77" s="122">
        <f t="shared" si="3"/>
        <v>95894</v>
      </c>
      <c r="M77" s="47"/>
      <c r="N77" s="575"/>
    </row>
    <row r="78" spans="2:14" ht="15">
      <c r="B78" s="92">
        <f t="shared" si="2"/>
        <v>36</v>
      </c>
      <c r="C78" s="44"/>
      <c r="D78" s="466" t="s">
        <v>448</v>
      </c>
      <c r="E78" s="46"/>
      <c r="F78" s="46"/>
      <c r="G78" s="122">
        <f>+'WS I Projected Plant'!D40</f>
        <v>0</v>
      </c>
      <c r="H78" s="102"/>
      <c r="I78" s="284" t="s">
        <v>569</v>
      </c>
      <c r="J78" s="50">
        <f t="shared" si="4"/>
        <v>1</v>
      </c>
      <c r="K78" s="278"/>
      <c r="L78" s="122">
        <f t="shared" si="3"/>
        <v>0</v>
      </c>
      <c r="M78" s="47"/>
      <c r="N78" s="575"/>
    </row>
    <row r="79" spans="2:14" ht="15">
      <c r="B79" s="92">
        <f t="shared" si="2"/>
        <v>37</v>
      </c>
      <c r="C79" s="44"/>
      <c r="D79" s="466" t="str">
        <f>"     Plus: Additional Transmission Depreciation for "&amp;'Historic TCOS'!O2&amp;"  (ln "&amp;B175&amp;")"</f>
        <v>     Plus: Additional Transmission Depreciation for 2015  (ln 108)</v>
      </c>
      <c r="E79" s="46"/>
      <c r="F79" s="46"/>
      <c r="G79" s="122">
        <f>+G175</f>
        <v>0</v>
      </c>
      <c r="H79" s="102"/>
      <c r="I79" s="550" t="s">
        <v>498</v>
      </c>
      <c r="J79" s="50">
        <f t="shared" si="4"/>
        <v>1</v>
      </c>
      <c r="K79" s="278"/>
      <c r="L79" s="122">
        <f t="shared" si="3"/>
        <v>0</v>
      </c>
      <c r="M79" s="47"/>
      <c r="N79" s="575"/>
    </row>
    <row r="80" spans="2:14" ht="15">
      <c r="B80" s="92">
        <f t="shared" si="2"/>
        <v>38</v>
      </c>
      <c r="C80" s="44"/>
      <c r="D80" s="467" t="str">
        <f>"     Plus: Additional General &amp; Intangible Depreciation for "&amp;'Historic TCOS'!O2&amp;" (ln "&amp;B178&amp;" + ln "&amp;B179&amp;")"</f>
        <v>     Plus: Additional General &amp; Intangible Depreciation for 2015 (ln 111 + ln 112)</v>
      </c>
      <c r="E80" s="46"/>
      <c r="F80" s="46"/>
      <c r="G80" s="122">
        <f>+G178+G179</f>
        <v>0</v>
      </c>
      <c r="H80" s="102"/>
      <c r="I80" s="284" t="s">
        <v>571</v>
      </c>
      <c r="J80" s="50">
        <f t="shared" si="4"/>
        <v>0.9987295825771325</v>
      </c>
      <c r="K80" s="278"/>
      <c r="L80" s="122">
        <f t="shared" si="3"/>
        <v>0</v>
      </c>
      <c r="M80" s="47"/>
      <c r="N80" s="575"/>
    </row>
    <row r="81" spans="2:14" ht="15">
      <c r="B81" s="92">
        <f t="shared" si="2"/>
        <v>39</v>
      </c>
      <c r="C81" s="44"/>
      <c r="D81" s="466" t="s">
        <v>449</v>
      </c>
      <c r="E81" s="46"/>
      <c r="F81" s="46"/>
      <c r="G81" s="122">
        <f>+'WS I Projected Plant'!D38</f>
        <v>0</v>
      </c>
      <c r="H81" s="102"/>
      <c r="I81" s="284" t="s">
        <v>569</v>
      </c>
      <c r="J81" s="50">
        <f t="shared" si="4"/>
        <v>1</v>
      </c>
      <c r="K81" s="278"/>
      <c r="L81" s="122">
        <f t="shared" si="3"/>
        <v>0</v>
      </c>
      <c r="M81" s="47"/>
      <c r="N81" s="575"/>
    </row>
    <row r="82" spans="2:14" ht="15">
      <c r="B82" s="92">
        <f t="shared" si="2"/>
        <v>40</v>
      </c>
      <c r="C82" s="44"/>
      <c r="D82" s="1019" t="s">
        <v>877</v>
      </c>
      <c r="E82" s="29"/>
      <c r="F82" s="29"/>
      <c r="G82" s="122"/>
      <c r="H82" s="122"/>
      <c r="I82" s="49"/>
      <c r="J82" s="50"/>
      <c r="K82" s="29"/>
      <c r="L82" s="122"/>
      <c r="M82" s="19"/>
      <c r="N82" s="575"/>
    </row>
    <row r="83" spans="2:14" ht="15">
      <c r="B83" s="92">
        <f t="shared" si="2"/>
        <v>41</v>
      </c>
      <c r="C83" s="44"/>
      <c r="D83" s="1019" t="s">
        <v>877</v>
      </c>
      <c r="E83" s="29"/>
      <c r="F83" s="29"/>
      <c r="G83" s="122"/>
      <c r="H83" s="122"/>
      <c r="I83" s="49"/>
      <c r="J83" s="50"/>
      <c r="K83" s="29"/>
      <c r="L83" s="122"/>
      <c r="M83" s="19"/>
      <c r="N83" s="575"/>
    </row>
    <row r="84" spans="2:14" ht="15">
      <c r="B84" s="92">
        <f t="shared" si="2"/>
        <v>42</v>
      </c>
      <c r="C84" s="208"/>
      <c r="D84" s="57" t="str">
        <f>+D67</f>
        <v>  General Plant   </v>
      </c>
      <c r="E84" s="29" t="s">
        <v>450</v>
      </c>
      <c r="F84" s="29"/>
      <c r="G84" s="129">
        <f>+'WS A  - RB Support '!E51</f>
        <v>0</v>
      </c>
      <c r="H84" s="122"/>
      <c r="I84" s="49" t="s">
        <v>571</v>
      </c>
      <c r="J84" s="50">
        <f t="shared" si="4"/>
        <v>0.9987295825771325</v>
      </c>
      <c r="K84" s="29"/>
      <c r="L84" s="122">
        <f>+J84*G84</f>
        <v>0</v>
      </c>
      <c r="M84" s="19"/>
      <c r="N84" s="575"/>
    </row>
    <row r="85" spans="2:14" ht="15">
      <c r="B85" s="92">
        <f t="shared" si="2"/>
        <v>43</v>
      </c>
      <c r="C85" s="208"/>
      <c r="D85" s="42" t="s">
        <v>4</v>
      </c>
      <c r="E85" s="29" t="s">
        <v>451</v>
      </c>
      <c r="F85" s="29"/>
      <c r="G85" s="122">
        <f>-'WS A  - RB Support '!E53</f>
        <v>0</v>
      </c>
      <c r="H85" s="122"/>
      <c r="I85" s="49" t="s">
        <v>571</v>
      </c>
      <c r="J85" s="50">
        <f t="shared" si="4"/>
        <v>0.9987295825771325</v>
      </c>
      <c r="K85" s="29"/>
      <c r="L85" s="122">
        <f>+J85*G85</f>
        <v>0</v>
      </c>
      <c r="M85" s="19"/>
      <c r="N85" s="575"/>
    </row>
    <row r="86" spans="2:14" ht="15" thickBot="1">
      <c r="B86" s="92">
        <f t="shared" si="2"/>
        <v>44</v>
      </c>
      <c r="C86" s="208"/>
      <c r="D86" s="57" t="str">
        <f>+D69</f>
        <v>  Intangible Plant</v>
      </c>
      <c r="E86" s="29" t="s">
        <v>452</v>
      </c>
      <c r="F86" s="29"/>
      <c r="G86" s="123">
        <f>+'WS A  - RB Support '!E55</f>
        <v>0</v>
      </c>
      <c r="H86" s="122"/>
      <c r="I86" s="49" t="s">
        <v>571</v>
      </c>
      <c r="J86" s="50">
        <f t="shared" si="4"/>
        <v>0.9987295825771325</v>
      </c>
      <c r="K86" s="29"/>
      <c r="L86" s="123">
        <f>+J86*G86</f>
        <v>0</v>
      </c>
      <c r="M86" s="29"/>
      <c r="N86" s="575"/>
    </row>
    <row r="87" spans="2:14" ht="15">
      <c r="B87" s="92">
        <f t="shared" si="2"/>
        <v>45</v>
      </c>
      <c r="C87" s="208"/>
      <c r="D87" s="57" t="s">
        <v>517</v>
      </c>
      <c r="E87" s="29" t="str">
        <f>"(Sum of Lines: "&amp;B75&amp;" to "&amp;B81&amp;" &amp; "&amp;B84&amp;" to "&amp;B86&amp;")"</f>
        <v>(Sum of Lines: 33 to 39 &amp; 42 to 44)</v>
      </c>
      <c r="F87" s="428"/>
      <c r="G87" s="122">
        <f>SUM(G73:G86)</f>
        <v>95894</v>
      </c>
      <c r="H87" s="122"/>
      <c r="I87" s="49"/>
      <c r="J87" s="29"/>
      <c r="K87" s="122"/>
      <c r="L87" s="122">
        <f>SUM(L73:L86)</f>
        <v>95894</v>
      </c>
      <c r="M87" s="19"/>
      <c r="N87" s="575"/>
    </row>
    <row r="88" spans="2:14" ht="15">
      <c r="B88" s="92"/>
      <c r="C88" s="20"/>
      <c r="D88" s="13"/>
      <c r="E88" s="694"/>
      <c r="F88" s="428"/>
      <c r="G88" s="122"/>
      <c r="H88" s="122"/>
      <c r="I88" s="49"/>
      <c r="J88" s="298"/>
      <c r="K88" s="29"/>
      <c r="L88" s="122"/>
      <c r="M88" s="19"/>
      <c r="N88" s="575"/>
    </row>
    <row r="89" spans="2:14" ht="15">
      <c r="B89" s="92">
        <f>+B87+1</f>
        <v>46</v>
      </c>
      <c r="C89" s="20"/>
      <c r="D89" s="17" t="s">
        <v>521</v>
      </c>
      <c r="E89" s="41"/>
      <c r="F89" s="41"/>
      <c r="G89" s="122"/>
      <c r="H89" s="122"/>
      <c r="I89" s="49"/>
      <c r="J89" s="29"/>
      <c r="K89" s="29"/>
      <c r="L89" s="122"/>
      <c r="M89" s="19"/>
      <c r="N89" s="575"/>
    </row>
    <row r="90" spans="2:14" ht="15">
      <c r="B90" s="94">
        <f aca="true" t="shared" si="5" ref="B90:B100">+B89+1</f>
        <v>47</v>
      </c>
      <c r="C90" s="44"/>
      <c r="D90" s="1019" t="s">
        <v>877</v>
      </c>
      <c r="E90" s="29"/>
      <c r="F90" s="29"/>
      <c r="G90" s="122"/>
      <c r="H90" s="122"/>
      <c r="I90" s="49"/>
      <c r="J90" s="50"/>
      <c r="K90" s="29"/>
      <c r="L90" s="122"/>
      <c r="M90" s="19"/>
      <c r="N90" s="575"/>
    </row>
    <row r="91" spans="2:14" ht="15">
      <c r="B91" s="94">
        <f t="shared" si="5"/>
        <v>48</v>
      </c>
      <c r="C91" s="44"/>
      <c r="D91" s="42" t="str">
        <f>+D75</f>
        <v>  Transmission</v>
      </c>
      <c r="E91" s="29" t="s">
        <v>453</v>
      </c>
      <c r="F91" s="29"/>
      <c r="G91" s="122">
        <f>+G61+G62-G75-G76</f>
        <v>0</v>
      </c>
      <c r="H91" s="122"/>
      <c r="I91" s="49"/>
      <c r="J91" s="297"/>
      <c r="K91" s="29"/>
      <c r="L91" s="122">
        <f>+L61+L62-L75-L76</f>
        <v>0</v>
      </c>
      <c r="M91" s="19"/>
      <c r="N91" s="575"/>
    </row>
    <row r="92" spans="2:14" ht="15">
      <c r="B92" s="94">
        <f t="shared" si="5"/>
        <v>49</v>
      </c>
      <c r="C92" s="44"/>
      <c r="D92" s="45" t="str">
        <f>"     Plus: Transmission Plant-in-Service Additions (ln "&amp;B63&amp;" - ln "&amp;B77&amp;")"</f>
        <v>     Plus: Transmission Plant-in-Service Additions (ln 22 - ln 35)</v>
      </c>
      <c r="E92" s="29"/>
      <c r="F92" s="29"/>
      <c r="G92" s="574">
        <f>+G63-G77</f>
        <v>26482126.050000004</v>
      </c>
      <c r="H92" s="122"/>
      <c r="I92" s="49"/>
      <c r="J92" s="297"/>
      <c r="K92" s="29"/>
      <c r="L92" s="574">
        <f>+L63-L77</f>
        <v>26482126.050000004</v>
      </c>
      <c r="M92" s="19"/>
      <c r="N92" s="575"/>
    </row>
    <row r="93" spans="2:14" ht="15">
      <c r="B93" s="94">
        <f t="shared" si="5"/>
        <v>50</v>
      </c>
      <c r="C93" s="44"/>
      <c r="D93" s="45" t="str">
        <f>"     Plus: Additional Trans Plant on Transferred Assets  (ln "&amp;B64&amp;" - ln "&amp;B78&amp;")"</f>
        <v>     Plus: Additional Trans Plant on Transferred Assets  (ln 23 - ln 36)</v>
      </c>
      <c r="E93" s="29"/>
      <c r="F93" s="29"/>
      <c r="G93" s="574">
        <f>+G64-G78</f>
        <v>0</v>
      </c>
      <c r="H93" s="122"/>
      <c r="I93" s="49"/>
      <c r="J93" s="297"/>
      <c r="K93" s="29"/>
      <c r="L93" s="574">
        <f>+L64-L78</f>
        <v>0</v>
      </c>
      <c r="M93" s="19"/>
      <c r="N93" s="575"/>
    </row>
    <row r="94" spans="2:14" ht="15">
      <c r="B94" s="94">
        <f t="shared" si="5"/>
        <v>51</v>
      </c>
      <c r="C94" s="44"/>
      <c r="D94" s="466" t="str">
        <f>"     Plus: Additional Transmission Depreciation for "&amp;'Historic TCOS'!O2&amp;"  (-ln "&amp;B79&amp;")"</f>
        <v>     Plus: Additional Transmission Depreciation for 2015  (-ln 37)</v>
      </c>
      <c r="E94" s="29"/>
      <c r="F94" s="29"/>
      <c r="G94" s="574">
        <f>-G79</f>
        <v>0</v>
      </c>
      <c r="H94" s="122"/>
      <c r="I94" s="49"/>
      <c r="J94" s="297"/>
      <c r="K94" s="29"/>
      <c r="L94" s="574">
        <f>-L79</f>
        <v>0</v>
      </c>
      <c r="M94" s="19"/>
      <c r="N94" s="575"/>
    </row>
    <row r="95" spans="2:14" ht="15">
      <c r="B95" s="94">
        <f t="shared" si="5"/>
        <v>52</v>
      </c>
      <c r="C95" s="44"/>
      <c r="D95" s="467" t="str">
        <f>"     Plus: Additional General &amp; Intangible Depreciation for "&amp;'Historic TCOS'!O2&amp;" (-ln "&amp;B80&amp;")"</f>
        <v>     Plus: Additional General &amp; Intangible Depreciation for 2015 (-ln 38)</v>
      </c>
      <c r="E95" s="29"/>
      <c r="F95" s="29"/>
      <c r="G95" s="574">
        <f>-G80</f>
        <v>0</v>
      </c>
      <c r="H95" s="122"/>
      <c r="I95" s="49"/>
      <c r="J95" s="297"/>
      <c r="K95" s="29"/>
      <c r="L95" s="574">
        <f>-L80</f>
        <v>0</v>
      </c>
      <c r="M95" s="19"/>
      <c r="N95" s="575"/>
    </row>
    <row r="96" spans="2:14" ht="15">
      <c r="B96" s="94">
        <f t="shared" si="5"/>
        <v>53</v>
      </c>
      <c r="C96" s="44"/>
      <c r="D96" s="466" t="str">
        <f>"     Plus: Additional Accum Deprec on Transferred Assets (Worksheet I) (-ln "&amp;B81&amp;")"</f>
        <v>     Plus: Additional Accum Deprec on Transferred Assets (Worksheet I) (-ln 39)</v>
      </c>
      <c r="E96" s="29"/>
      <c r="F96" s="29"/>
      <c r="G96" s="574">
        <f>-G81</f>
        <v>0</v>
      </c>
      <c r="H96" s="122"/>
      <c r="I96" s="49"/>
      <c r="J96" s="297"/>
      <c r="K96" s="29"/>
      <c r="L96" s="574">
        <f>-L81</f>
        <v>0</v>
      </c>
      <c r="M96" s="19"/>
      <c r="N96" s="575"/>
    </row>
    <row r="97" spans="2:14" ht="15">
      <c r="B97" s="94">
        <f t="shared" si="5"/>
        <v>54</v>
      </c>
      <c r="C97" s="44"/>
      <c r="D97" s="1019" t="s">
        <v>877</v>
      </c>
      <c r="E97" s="29"/>
      <c r="F97" s="29"/>
      <c r="G97" s="122"/>
      <c r="H97" s="122"/>
      <c r="I97" s="49"/>
      <c r="J97" s="50"/>
      <c r="K97" s="29"/>
      <c r="L97" s="122"/>
      <c r="M97" s="19"/>
      <c r="N97" s="575"/>
    </row>
    <row r="98" spans="2:14" ht="15">
      <c r="B98" s="94">
        <f t="shared" si="5"/>
        <v>55</v>
      </c>
      <c r="C98" s="44"/>
      <c r="D98" s="42" t="str">
        <f>+D84</f>
        <v>  General Plant   </v>
      </c>
      <c r="E98" s="29" t="str">
        <f>" (ln "&amp;B67&amp;" + ln "&amp;B68&amp;" - ln "&amp;B84&amp;" - ln "&amp;B85&amp;")"</f>
        <v> (ln 26 + ln 27 - ln 42 - ln 43)</v>
      </c>
      <c r="F98" s="29"/>
      <c r="G98" s="122">
        <f>+G67+G68-G84-G85</f>
        <v>0</v>
      </c>
      <c r="H98" s="122"/>
      <c r="I98" s="49"/>
      <c r="J98" s="298"/>
      <c r="K98" s="29"/>
      <c r="L98" s="122">
        <f>+L67+L68-L84-L85</f>
        <v>0</v>
      </c>
      <c r="M98" s="19"/>
      <c r="N98" s="575"/>
    </row>
    <row r="99" spans="2:14" ht="15" thickBot="1">
      <c r="B99" s="94">
        <f t="shared" si="5"/>
        <v>56</v>
      </c>
      <c r="C99" s="44"/>
      <c r="D99" s="42" t="str">
        <f>+D86</f>
        <v>  Intangible Plant</v>
      </c>
      <c r="E99" s="29" t="str">
        <f>" (ln "&amp;B69&amp;" - ln "&amp;B86&amp;")"</f>
        <v> (ln 28 - ln 44)</v>
      </c>
      <c r="F99" s="29"/>
      <c r="G99" s="123">
        <f>+G69-G86</f>
        <v>0</v>
      </c>
      <c r="H99" s="122"/>
      <c r="I99" s="49"/>
      <c r="J99" s="298"/>
      <c r="K99" s="29"/>
      <c r="L99" s="123">
        <f>+L69-L86</f>
        <v>0</v>
      </c>
      <c r="M99" s="19"/>
      <c r="N99" s="575"/>
    </row>
    <row r="100" spans="2:14" ht="15">
      <c r="B100" s="94">
        <f t="shared" si="5"/>
        <v>57</v>
      </c>
      <c r="C100" s="44"/>
      <c r="D100" s="42" t="s">
        <v>516</v>
      </c>
      <c r="E100" s="29" t="str">
        <f>"(Sum of Lines: "&amp;B91&amp;" to "&amp;B96&amp;" &amp; "&amp;B98&amp;", "&amp;B99&amp;")"</f>
        <v>(Sum of Lines: 48 to 53 &amp; 55, 56)</v>
      </c>
      <c r="F100" s="29"/>
      <c r="G100" s="122">
        <f>SUM(G90:G99)</f>
        <v>26482126.050000004</v>
      </c>
      <c r="H100" s="122"/>
      <c r="I100" s="258"/>
      <c r="J100" s="109"/>
      <c r="K100" s="29"/>
      <c r="L100" s="122">
        <f>SUM(L91:L99)</f>
        <v>26482126.050000004</v>
      </c>
      <c r="M100" s="19"/>
      <c r="N100" s="575"/>
    </row>
    <row r="101" spans="2:14" ht="15">
      <c r="B101" s="92"/>
      <c r="C101" s="20"/>
      <c r="D101" s="17"/>
      <c r="E101" s="29"/>
      <c r="F101" s="29"/>
      <c r="G101" s="122"/>
      <c r="H101" s="122"/>
      <c r="I101" s="15"/>
      <c r="J101" s="299"/>
      <c r="K101" s="29"/>
      <c r="L101" s="122"/>
      <c r="M101" s="19"/>
      <c r="N101" s="575"/>
    </row>
    <row r="102" spans="2:14" ht="15">
      <c r="B102" s="92"/>
      <c r="C102" s="20"/>
      <c r="D102" s="13"/>
      <c r="G102" s="102"/>
      <c r="H102" s="102"/>
      <c r="I102" s="102"/>
      <c r="J102" s="102"/>
      <c r="K102" s="102"/>
      <c r="L102" s="102"/>
      <c r="M102"/>
      <c r="N102" s="575"/>
    </row>
    <row r="103" spans="2:14" ht="15">
      <c r="B103" s="92">
        <f>+B100+1</f>
        <v>58</v>
      </c>
      <c r="C103" s="20"/>
      <c r="D103" s="17" t="s">
        <v>950</v>
      </c>
      <c r="E103" s="29" t="s">
        <v>926</v>
      </c>
      <c r="F103" s="49"/>
      <c r="G103" s="102"/>
      <c r="H103" s="102"/>
      <c r="I103" s="102"/>
      <c r="J103" s="102"/>
      <c r="K103" s="102"/>
      <c r="L103" s="102"/>
      <c r="M103"/>
      <c r="N103" s="575"/>
    </row>
    <row r="104" spans="2:14" ht="15">
      <c r="B104" s="94">
        <f aca="true" t="shared" si="6" ref="B104:B109">+B103+1</f>
        <v>59</v>
      </c>
      <c r="C104" s="44"/>
      <c r="D104" s="61" t="s">
        <v>653</v>
      </c>
      <c r="E104" s="29" t="s">
        <v>454</v>
      </c>
      <c r="F104" s="29"/>
      <c r="G104" s="122">
        <f>-'WS B ADIT &amp; ITC'!E15</f>
        <v>0</v>
      </c>
      <c r="H104" s="122"/>
      <c r="I104" s="49" t="s">
        <v>567</v>
      </c>
      <c r="J104" s="50"/>
      <c r="K104" s="29"/>
      <c r="L104" s="122">
        <f>-'WS B ADIT &amp; ITC'!E18</f>
        <v>0</v>
      </c>
      <c r="M104" s="19"/>
      <c r="N104" s="575"/>
    </row>
    <row r="105" spans="2:14" ht="15">
      <c r="B105" s="94">
        <f t="shared" si="6"/>
        <v>60</v>
      </c>
      <c r="C105" s="44"/>
      <c r="D105" s="61" t="s">
        <v>654</v>
      </c>
      <c r="E105" s="29" t="s">
        <v>455</v>
      </c>
      <c r="F105" s="29"/>
      <c r="G105" s="122">
        <f>-'WS B ADIT &amp; ITC'!E23</f>
        <v>-4721</v>
      </c>
      <c r="H105" s="122"/>
      <c r="I105" s="49" t="s">
        <v>569</v>
      </c>
      <c r="J105" s="50"/>
      <c r="K105" s="29"/>
      <c r="L105" s="122">
        <f>-'WS B ADIT &amp; ITC'!E26</f>
        <v>-4721</v>
      </c>
      <c r="M105" s="19"/>
      <c r="N105" s="575"/>
    </row>
    <row r="106" spans="2:14" ht="15">
      <c r="B106" s="94">
        <f t="shared" si="6"/>
        <v>61</v>
      </c>
      <c r="C106" s="44"/>
      <c r="D106" s="61" t="s">
        <v>655</v>
      </c>
      <c r="E106" s="29" t="s">
        <v>456</v>
      </c>
      <c r="F106" s="29"/>
      <c r="G106" s="122">
        <f>-'WS B ADIT &amp; ITC'!E31</f>
        <v>-63470</v>
      </c>
      <c r="H106" s="122"/>
      <c r="I106" s="49" t="s">
        <v>569</v>
      </c>
      <c r="J106" s="50"/>
      <c r="K106" s="29"/>
      <c r="L106" s="122">
        <f>-'WS B ADIT &amp; ITC'!E34</f>
        <v>-63470</v>
      </c>
      <c r="M106" s="19"/>
      <c r="N106" s="575"/>
    </row>
    <row r="107" spans="2:14" ht="15">
      <c r="B107" s="94">
        <f t="shared" si="6"/>
        <v>62</v>
      </c>
      <c r="C107" s="44"/>
      <c r="D107" s="61" t="s">
        <v>656</v>
      </c>
      <c r="E107" s="29" t="s">
        <v>457</v>
      </c>
      <c r="F107" s="29"/>
      <c r="G107" s="122">
        <f>+'WS B ADIT &amp; ITC'!E39</f>
        <v>49233</v>
      </c>
      <c r="H107" s="122"/>
      <c r="I107" s="49" t="s">
        <v>569</v>
      </c>
      <c r="J107" s="50"/>
      <c r="K107" s="29"/>
      <c r="L107" s="122">
        <f>+'WS B ADIT &amp; ITC'!E42</f>
        <v>49233</v>
      </c>
      <c r="M107" s="19"/>
      <c r="N107" s="575"/>
    </row>
    <row r="108" spans="2:14" ht="15" thickBot="1">
      <c r="B108" s="94">
        <f t="shared" si="6"/>
        <v>63</v>
      </c>
      <c r="C108" s="44"/>
      <c r="D108" s="51" t="s">
        <v>573</v>
      </c>
      <c r="E108" s="29" t="s">
        <v>458</v>
      </c>
      <c r="F108" s="15"/>
      <c r="G108" s="123">
        <f>-+'WS B ADIT &amp; ITC'!E49</f>
        <v>0</v>
      </c>
      <c r="H108" s="122"/>
      <c r="I108" s="49" t="s">
        <v>569</v>
      </c>
      <c r="J108" s="50"/>
      <c r="K108" s="29"/>
      <c r="L108" s="123">
        <f>-+'WS B ADIT &amp; ITC'!E50</f>
        <v>0</v>
      </c>
      <c r="M108" s="52"/>
      <c r="N108" s="575"/>
    </row>
    <row r="109" spans="2:14" ht="15">
      <c r="B109" s="94">
        <f t="shared" si="6"/>
        <v>64</v>
      </c>
      <c r="C109" s="44"/>
      <c r="D109" s="42" t="s">
        <v>530</v>
      </c>
      <c r="E109" s="42" t="str">
        <f>"(sum lns "&amp;B104&amp;" to "&amp;B108&amp;")"</f>
        <v>(sum lns 59 to 63)</v>
      </c>
      <c r="F109" s="29"/>
      <c r="G109" s="122">
        <f>SUM(G104:G108)</f>
        <v>-18958</v>
      </c>
      <c r="H109" s="101"/>
      <c r="I109" s="49"/>
      <c r="J109" s="300"/>
      <c r="K109" s="29"/>
      <c r="L109" s="122">
        <f>SUM(L104:L108)</f>
        <v>-18958</v>
      </c>
      <c r="M109" s="19"/>
      <c r="N109" s="575"/>
    </row>
    <row r="110" spans="2:14" ht="15">
      <c r="B110" s="92"/>
      <c r="C110" s="20"/>
      <c r="D110" s="42"/>
      <c r="E110" s="29"/>
      <c r="F110" s="29"/>
      <c r="G110" s="122"/>
      <c r="H110" s="101"/>
      <c r="I110" s="49"/>
      <c r="J110" s="298"/>
      <c r="K110" s="29"/>
      <c r="L110" s="122"/>
      <c r="M110" s="19"/>
      <c r="N110" s="575"/>
    </row>
    <row r="111" spans="2:14" ht="15">
      <c r="B111" s="92">
        <f>+B109+1</f>
        <v>65</v>
      </c>
      <c r="C111" s="20"/>
      <c r="D111" s="42" t="s">
        <v>669</v>
      </c>
      <c r="E111" s="29" t="str">
        <f>"(Worksheet A ln "&amp;'WS A  - RB Support '!A79&amp;".C &amp; ln "&amp;'WS A  - RB Support '!A81&amp;".C)"</f>
        <v>(Worksheet A ln 29.C &amp; ln 30.C)</v>
      </c>
      <c r="F111" s="29"/>
      <c r="G111" s="122">
        <f>+'WS A  - RB Support '!E79</f>
        <v>0</v>
      </c>
      <c r="H111" s="101"/>
      <c r="I111" s="49" t="s">
        <v>569</v>
      </c>
      <c r="J111" s="50"/>
      <c r="K111" s="29"/>
      <c r="L111" s="122">
        <f>+'WS A  - RB Support '!E81</f>
        <v>0</v>
      </c>
      <c r="M111" s="19"/>
      <c r="N111" s="575"/>
    </row>
    <row r="112" spans="2:14" ht="15">
      <c r="B112" s="92"/>
      <c r="C112" s="20"/>
      <c r="D112" s="42"/>
      <c r="E112" s="29"/>
      <c r="F112" s="29"/>
      <c r="G112" s="122"/>
      <c r="H112" s="101"/>
      <c r="I112" s="49"/>
      <c r="J112" s="50"/>
      <c r="K112" s="29"/>
      <c r="L112" s="122"/>
      <c r="M112" s="19"/>
      <c r="N112" s="575"/>
    </row>
    <row r="113" spans="2:14" ht="15">
      <c r="B113" s="96">
        <f>+B111+1</f>
        <v>66</v>
      </c>
      <c r="C113" s="80"/>
      <c r="D113" s="61" t="s">
        <v>951</v>
      </c>
      <c r="E113" s="29" t="str">
        <f>"(Worksheet A ln "&amp;'WS A  - RB Support '!A95&amp;". "&amp;'WS A  - RB Support '!E6&amp;")"</f>
        <v>(Worksheet A ln 41. (C))</v>
      </c>
      <c r="F113" s="29"/>
      <c r="G113" s="122">
        <f>'WS A  - RB Support '!E95</f>
        <v>0</v>
      </c>
      <c r="H113" s="101"/>
      <c r="I113" s="49" t="s">
        <v>569</v>
      </c>
      <c r="J113" s="29"/>
      <c r="K113" s="29"/>
      <c r="L113" s="122">
        <f>+G113</f>
        <v>0</v>
      </c>
      <c r="M113" s="29"/>
      <c r="N113" s="575"/>
    </row>
    <row r="114" spans="2:14" ht="15">
      <c r="B114" s="92"/>
      <c r="C114" s="20"/>
      <c r="D114" s="42"/>
      <c r="E114" s="29"/>
      <c r="F114" s="29"/>
      <c r="G114" s="122"/>
      <c r="H114" s="101"/>
      <c r="I114" s="49"/>
      <c r="J114" s="29"/>
      <c r="K114" s="29"/>
      <c r="L114" s="122"/>
      <c r="M114" s="19"/>
      <c r="N114" s="575"/>
    </row>
    <row r="115" spans="2:14" ht="15">
      <c r="B115" s="92">
        <f>+B113+1</f>
        <v>67</v>
      </c>
      <c r="C115" s="20"/>
      <c r="D115" s="42" t="s">
        <v>531</v>
      </c>
      <c r="E115" s="29" t="s">
        <v>286</v>
      </c>
      <c r="F115" s="29"/>
      <c r="G115" s="122"/>
      <c r="H115" s="101"/>
      <c r="I115" s="49"/>
      <c r="J115" s="29"/>
      <c r="K115" s="29"/>
      <c r="L115" s="122"/>
      <c r="M115" s="19"/>
      <c r="N115" s="575"/>
    </row>
    <row r="116" spans="2:14" ht="15">
      <c r="B116" s="94">
        <f aca="true" t="shared" si="7" ref="B116:B124">+B115+1</f>
        <v>68</v>
      </c>
      <c r="C116" s="44"/>
      <c r="D116" s="42" t="s">
        <v>667</v>
      </c>
      <c r="E116" s="15" t="str">
        <f>"(1/8 * ln "&amp;B152&amp;")"</f>
        <v>(1/8 * ln 88)</v>
      </c>
      <c r="F116" s="15"/>
      <c r="G116" s="122">
        <f>+G152/8</f>
        <v>1873.375</v>
      </c>
      <c r="H116" s="29"/>
      <c r="I116" s="49"/>
      <c r="J116" s="298"/>
      <c r="K116" s="29"/>
      <c r="L116" s="122">
        <f>+L152/8</f>
        <v>1873.375</v>
      </c>
      <c r="M116" s="18"/>
      <c r="N116" s="575"/>
    </row>
    <row r="117" spans="2:14" ht="15">
      <c r="B117" s="207">
        <f t="shared" si="7"/>
        <v>69</v>
      </c>
      <c r="C117" s="208"/>
      <c r="D117" s="42" t="s">
        <v>958</v>
      </c>
      <c r="E117" s="29" t="s">
        <v>184</v>
      </c>
      <c r="F117" s="29"/>
      <c r="G117" s="122">
        <f>+'WS C  - Working Capital'!E15</f>
        <v>0</v>
      </c>
      <c r="H117" s="102"/>
      <c r="I117" s="32" t="s">
        <v>561</v>
      </c>
      <c r="J117" s="50">
        <f aca="true" t="shared" si="8" ref="J117:J123">VLOOKUP(I117,APCo_Proj_Allocators,2,FALSE)</f>
        <v>1</v>
      </c>
      <c r="K117" s="19"/>
      <c r="L117" s="107">
        <f>+J117*G117</f>
        <v>0</v>
      </c>
      <c r="M117" s="29"/>
      <c r="N117" s="575"/>
    </row>
    <row r="118" spans="2:14" ht="15">
      <c r="B118" s="207">
        <f t="shared" si="7"/>
        <v>70</v>
      </c>
      <c r="C118" s="208"/>
      <c r="D118" s="42" t="s">
        <v>959</v>
      </c>
      <c r="E118" s="29" t="s">
        <v>185</v>
      </c>
      <c r="F118" s="29"/>
      <c r="G118" s="122">
        <f>+'WS C  - Working Capital'!E17</f>
        <v>0</v>
      </c>
      <c r="H118" s="102"/>
      <c r="I118" s="32" t="s">
        <v>571</v>
      </c>
      <c r="J118" s="50">
        <f t="shared" si="8"/>
        <v>0.9987295825771325</v>
      </c>
      <c r="K118" s="19"/>
      <c r="L118" s="107">
        <f>+J118*G118</f>
        <v>0</v>
      </c>
      <c r="M118" s="29"/>
      <c r="N118" s="575"/>
    </row>
    <row r="119" spans="2:14" ht="15">
      <c r="B119" s="207">
        <f t="shared" si="7"/>
        <v>71</v>
      </c>
      <c r="C119" s="208"/>
      <c r="D119" s="42" t="s">
        <v>354</v>
      </c>
      <c r="E119" s="29" t="s">
        <v>459</v>
      </c>
      <c r="F119" s="29"/>
      <c r="G119" s="122">
        <f>+'WS C  - Working Capital'!E19</f>
        <v>0</v>
      </c>
      <c r="H119" s="102"/>
      <c r="I119" s="32" t="s">
        <v>960</v>
      </c>
      <c r="J119" s="50">
        <f t="shared" si="8"/>
        <v>0</v>
      </c>
      <c r="K119" s="19"/>
      <c r="L119" s="107">
        <f>+J119*G119</f>
        <v>0</v>
      </c>
      <c r="M119" s="29"/>
      <c r="N119" s="575"/>
    </row>
    <row r="120" spans="2:14" ht="15">
      <c r="B120" s="207">
        <f t="shared" si="7"/>
        <v>72</v>
      </c>
      <c r="C120" s="208"/>
      <c r="D120" s="61" t="s">
        <v>683</v>
      </c>
      <c r="E120" s="29" t="s">
        <v>460</v>
      </c>
      <c r="F120" s="29"/>
      <c r="G120" s="122">
        <f>+'WS C  - Working Capital'!J27</f>
        <v>0</v>
      </c>
      <c r="H120" s="101"/>
      <c r="I120" s="49" t="s">
        <v>571</v>
      </c>
      <c r="J120" s="50">
        <f t="shared" si="8"/>
        <v>0.9987295825771325</v>
      </c>
      <c r="K120" s="29"/>
      <c r="L120" s="122">
        <f>+J120*G120</f>
        <v>0</v>
      </c>
      <c r="M120" s="29"/>
      <c r="N120" s="575"/>
    </row>
    <row r="121" spans="2:14" ht="15">
      <c r="B121" s="94">
        <f t="shared" si="7"/>
        <v>73</v>
      </c>
      <c r="C121" s="44"/>
      <c r="D121" s="42" t="s">
        <v>684</v>
      </c>
      <c r="E121" s="29" t="s">
        <v>461</v>
      </c>
      <c r="F121" s="29"/>
      <c r="G121" s="122">
        <f>+'WS C  - Working Capital'!I27</f>
        <v>0</v>
      </c>
      <c r="H121" s="101"/>
      <c r="I121" s="49" t="s">
        <v>960</v>
      </c>
      <c r="J121" s="50">
        <f t="shared" si="8"/>
        <v>0</v>
      </c>
      <c r="K121" s="29"/>
      <c r="L121" s="122">
        <f>+G121*J121</f>
        <v>0</v>
      </c>
      <c r="M121" s="29"/>
      <c r="N121" s="575"/>
    </row>
    <row r="122" spans="2:14" ht="15">
      <c r="B122" s="94">
        <f t="shared" si="7"/>
        <v>74</v>
      </c>
      <c r="C122" s="44"/>
      <c r="D122" s="42" t="s">
        <v>929</v>
      </c>
      <c r="E122" s="29" t="s">
        <v>462</v>
      </c>
      <c r="F122" s="29"/>
      <c r="G122" s="122">
        <f>+'WS C  - Working Capital'!G27</f>
        <v>0</v>
      </c>
      <c r="H122" s="101"/>
      <c r="I122" s="49" t="s">
        <v>569</v>
      </c>
      <c r="J122" s="50">
        <f t="shared" si="8"/>
        <v>1</v>
      </c>
      <c r="K122" s="29"/>
      <c r="L122" s="122">
        <f>+G122</f>
        <v>0</v>
      </c>
      <c r="M122" s="29"/>
      <c r="N122" s="575"/>
    </row>
    <row r="123" spans="2:14" ht="15" thickBot="1">
      <c r="B123" s="94">
        <f t="shared" si="7"/>
        <v>75</v>
      </c>
      <c r="C123" s="44"/>
      <c r="D123" s="42" t="s">
        <v>545</v>
      </c>
      <c r="E123" s="29" t="s">
        <v>463</v>
      </c>
      <c r="F123" s="29"/>
      <c r="G123" s="123">
        <f>+'WS C  - Working Capital'!E27</f>
        <v>0</v>
      </c>
      <c r="H123" s="122"/>
      <c r="I123" s="49" t="s">
        <v>567</v>
      </c>
      <c r="J123" s="50">
        <f t="shared" si="8"/>
        <v>0</v>
      </c>
      <c r="K123" s="29"/>
      <c r="L123" s="123">
        <f>+G123*J123</f>
        <v>0</v>
      </c>
      <c r="M123" s="29"/>
      <c r="N123" s="575"/>
    </row>
    <row r="124" spans="2:14" ht="15">
      <c r="B124" s="94">
        <f t="shared" si="7"/>
        <v>76</v>
      </c>
      <c r="C124" s="44"/>
      <c r="D124" s="42" t="s">
        <v>515</v>
      </c>
      <c r="E124" s="42" t="str">
        <f>"(sum lns "&amp;B116&amp;" to "&amp;B123&amp;")"</f>
        <v>(sum lns 68 to 75)</v>
      </c>
      <c r="F124" s="26"/>
      <c r="G124" s="122">
        <f>SUM(G116:G123)</f>
        <v>1873.375</v>
      </c>
      <c r="H124" s="26"/>
      <c r="I124" s="80"/>
      <c r="J124" s="26"/>
      <c r="K124" s="26"/>
      <c r="L124" s="122">
        <f>SUM(L116:L123)</f>
        <v>1873.375</v>
      </c>
      <c r="M124" s="18"/>
      <c r="N124" s="575"/>
    </row>
    <row r="125" spans="2:14" ht="15">
      <c r="B125" s="92"/>
      <c r="C125" s="20"/>
      <c r="D125" s="42"/>
      <c r="E125" s="18"/>
      <c r="F125" s="18"/>
      <c r="G125" s="107"/>
      <c r="H125" s="18"/>
      <c r="I125" s="20"/>
      <c r="J125" s="18"/>
      <c r="K125" s="18"/>
      <c r="L125" s="107"/>
      <c r="M125" s="18"/>
      <c r="N125" s="575"/>
    </row>
    <row r="126" spans="2:14" ht="15">
      <c r="B126" s="92">
        <f>+B124+1</f>
        <v>77</v>
      </c>
      <c r="C126" s="20"/>
      <c r="D126" s="61" t="s">
        <v>501</v>
      </c>
      <c r="E126" s="17" t="s">
        <v>464</v>
      </c>
      <c r="F126" s="18"/>
      <c r="G126" s="107">
        <f>'WS D IPP Credits'!C19</f>
        <v>0</v>
      </c>
      <c r="H126" s="18"/>
      <c r="I126" s="132" t="s">
        <v>569</v>
      </c>
      <c r="J126" s="50">
        <f>VLOOKUP(I126,APCo_Proj_Allocators,2,FALSE)</f>
        <v>1</v>
      </c>
      <c r="K126" s="19"/>
      <c r="L126" s="107">
        <f>+J126*G126</f>
        <v>0</v>
      </c>
      <c r="M126" s="18"/>
      <c r="N126" s="575"/>
    </row>
    <row r="127" spans="2:13" ht="15" thickBot="1">
      <c r="B127" s="91"/>
      <c r="C127" s="13"/>
      <c r="D127" s="51"/>
      <c r="E127" s="19"/>
      <c r="F127" s="19"/>
      <c r="G127" s="108"/>
      <c r="H127" s="19"/>
      <c r="I127" s="32"/>
      <c r="J127" s="19"/>
      <c r="K127" s="19"/>
      <c r="L127" s="108"/>
      <c r="M127" s="19"/>
    </row>
    <row r="128" spans="2:13" ht="15" thickBot="1">
      <c r="B128" s="92">
        <f>+B126+1</f>
        <v>78</v>
      </c>
      <c r="C128" s="20"/>
      <c r="D128" s="17" t="str">
        <f>"RATE BASE  (sum lns "&amp;B100&amp;", "&amp;B109&amp;", "&amp;B111&amp;",  "&amp;B113&amp;", "&amp;B124&amp;", "&amp;B126&amp;")"</f>
        <v>RATE BASE  (sum lns 57, 64, 65,  66, 76, 77)</v>
      </c>
      <c r="E128" s="19"/>
      <c r="F128" s="19"/>
      <c r="G128" s="119">
        <f>+G124+G111+G109+G100+G126+G113</f>
        <v>26465041.425000004</v>
      </c>
      <c r="H128" s="19"/>
      <c r="I128" s="19"/>
      <c r="J128" s="48"/>
      <c r="K128" s="19"/>
      <c r="L128" s="119">
        <f>+L124+L111+L109+L100+L126+L113</f>
        <v>26465041.425000004</v>
      </c>
      <c r="M128" s="19"/>
    </row>
    <row r="129" spans="2:13" ht="15.75" thickTop="1">
      <c r="B129" s="92"/>
      <c r="C129"/>
      <c r="D129" s="102"/>
      <c r="E129" s="102"/>
      <c r="F129" s="102"/>
      <c r="G129" s="102"/>
      <c r="H129" s="102"/>
      <c r="I129" s="14"/>
      <c r="J129" s="14"/>
      <c r="K129" s="14"/>
      <c r="L129" s="102"/>
      <c r="M129" s="13"/>
    </row>
    <row r="130" spans="2:13" ht="15">
      <c r="B130" s="92"/>
      <c r="C130" s="20"/>
      <c r="D130" s="17"/>
      <c r="E130" s="19"/>
      <c r="F130" s="19"/>
      <c r="G130" s="19"/>
      <c r="H130" s="19"/>
      <c r="I130" s="19"/>
      <c r="J130" s="19"/>
      <c r="K130" s="19"/>
      <c r="L130" s="102"/>
      <c r="M130" s="19"/>
    </row>
    <row r="131" spans="2:13" ht="15">
      <c r="B131" s="92"/>
      <c r="C131" s="20"/>
      <c r="D131" s="17"/>
      <c r="E131" s="19"/>
      <c r="F131" s="32" t="str">
        <f>F47</f>
        <v>AEPTCo subsidiaries in PJM</v>
      </c>
      <c r="G131" s="32"/>
      <c r="H131" s="19"/>
      <c r="I131" s="19"/>
      <c r="J131" s="19"/>
      <c r="K131" s="19"/>
      <c r="L131" s="102"/>
      <c r="M131" s="65"/>
    </row>
    <row r="132" spans="2:13" ht="15">
      <c r="B132" s="92"/>
      <c r="C132" s="20"/>
      <c r="D132" s="17"/>
      <c r="E132" s="19"/>
      <c r="F132" s="32" t="str">
        <f>F48</f>
        <v>Transmission Cost of Service Formula Rate</v>
      </c>
      <c r="G132" s="32"/>
      <c r="H132" s="19"/>
      <c r="I132" s="19"/>
      <c r="J132" s="19"/>
      <c r="K132" s="19"/>
      <c r="L132" s="102"/>
      <c r="M132" s="65"/>
    </row>
    <row r="133" spans="2:13" ht="15">
      <c r="B133" s="92"/>
      <c r="C133" s="20"/>
      <c r="D133" s="13"/>
      <c r="E133" s="19"/>
      <c r="F133" s="32" t="str">
        <f>F49</f>
        <v>Utilizing  Historic Cost Data for 2014 and Projected Net Plant at Year-End 2015</v>
      </c>
      <c r="G133" s="19"/>
      <c r="H133" s="19"/>
      <c r="I133" s="19"/>
      <c r="J133" s="19"/>
      <c r="K133" s="19"/>
      <c r="L133" s="102"/>
      <c r="M133" s="145"/>
    </row>
    <row r="134" spans="2:13" ht="15">
      <c r="B134" s="92"/>
      <c r="C134" s="20"/>
      <c r="D134" s="13"/>
      <c r="E134" s="19"/>
      <c r="F134" s="32"/>
      <c r="G134" s="19"/>
      <c r="H134" s="19"/>
      <c r="I134" s="19"/>
      <c r="J134" s="19"/>
      <c r="K134" s="19"/>
      <c r="L134" s="102"/>
      <c r="M134" s="19"/>
    </row>
    <row r="135" spans="2:13" ht="15">
      <c r="B135" s="92"/>
      <c r="C135" s="20"/>
      <c r="D135" s="13"/>
      <c r="E135" s="23"/>
      <c r="F135" s="32" t="str">
        <f>F51</f>
        <v>AEP KENTUCKY TRANSMISSION COMPANY</v>
      </c>
      <c r="G135" s="23"/>
      <c r="H135" s="85"/>
      <c r="I135" s="23"/>
      <c r="J135" s="23"/>
      <c r="K135" s="23"/>
      <c r="L135" s="13"/>
      <c r="M135" s="19"/>
    </row>
    <row r="136" spans="2:13" ht="15">
      <c r="B136" s="92"/>
      <c r="C136" s="20"/>
      <c r="D136" s="13"/>
      <c r="E136" s="23"/>
      <c r="F136" s="32"/>
      <c r="G136" s="23"/>
      <c r="H136" s="85"/>
      <c r="I136" s="23"/>
      <c r="J136" s="23"/>
      <c r="K136" s="23"/>
      <c r="L136" s="13"/>
      <c r="M136" s="19"/>
    </row>
    <row r="137" spans="2:13" ht="15">
      <c r="B137" s="91"/>
      <c r="C137" s="13"/>
      <c r="D137" s="20" t="s">
        <v>562</v>
      </c>
      <c r="E137" s="20" t="s">
        <v>563</v>
      </c>
      <c r="F137" s="20"/>
      <c r="G137" s="20" t="s">
        <v>564</v>
      </c>
      <c r="H137" s="29"/>
      <c r="I137" s="1169" t="s">
        <v>565</v>
      </c>
      <c r="J137" s="1182"/>
      <c r="K137" s="19"/>
      <c r="L137" s="21" t="s">
        <v>566</v>
      </c>
      <c r="M137" s="19"/>
    </row>
    <row r="138" spans="2:13" ht="15">
      <c r="B138" s="16"/>
      <c r="C138" s="13"/>
      <c r="D138" s="20"/>
      <c r="E138" s="20"/>
      <c r="F138" s="20"/>
      <c r="G138" s="20"/>
      <c r="H138" s="29"/>
      <c r="I138" s="19"/>
      <c r="J138" s="34"/>
      <c r="K138" s="19"/>
      <c r="L138" s="13"/>
      <c r="M138" s="19"/>
    </row>
    <row r="139" spans="2:13" ht="15">
      <c r="B139" s="94"/>
      <c r="C139" s="20"/>
      <c r="D139" s="38" t="s">
        <v>541</v>
      </c>
      <c r="E139" s="35" t="str">
        <f>E55</f>
        <v>Data Sources</v>
      </c>
      <c r="F139" s="37"/>
      <c r="G139" s="19"/>
      <c r="H139" s="29"/>
      <c r="I139" s="19"/>
      <c r="J139" s="20"/>
      <c r="K139" s="19"/>
      <c r="L139" s="35" t="str">
        <f>L55</f>
        <v>Total</v>
      </c>
      <c r="M139" s="13"/>
    </row>
    <row r="140" spans="2:13" ht="15">
      <c r="B140" s="16"/>
      <c r="C140" s="25"/>
      <c r="D140" s="55" t="s">
        <v>542</v>
      </c>
      <c r="E140" s="121" t="str">
        <f>E56</f>
        <v>(See "General Notes")</v>
      </c>
      <c r="F140" s="19"/>
      <c r="G140" s="121" t="str">
        <f>G56</f>
        <v>TO Total</v>
      </c>
      <c r="H140" s="291"/>
      <c r="I140" s="1180" t="str">
        <f>I56</f>
        <v>Allocator</v>
      </c>
      <c r="J140" s="1181"/>
      <c r="K140" s="39"/>
      <c r="L140" s="121" t="str">
        <f>L56</f>
        <v>Transmission</v>
      </c>
      <c r="M140" s="19"/>
    </row>
    <row r="141" spans="2:13" ht="15">
      <c r="B141" s="118" t="str">
        <f>B57</f>
        <v>Line</v>
      </c>
      <c r="C141" s="13"/>
      <c r="D141" s="17"/>
      <c r="E141" s="19"/>
      <c r="F141" s="19"/>
      <c r="G141" s="55"/>
      <c r="H141" s="282"/>
      <c r="I141" s="38"/>
      <c r="J141" s="13"/>
      <c r="K141" s="56"/>
      <c r="L141" s="55"/>
      <c r="M141" s="19"/>
    </row>
    <row r="142" spans="2:13" ht="15" thickBot="1">
      <c r="B142" s="93" t="str">
        <f>B58</f>
        <v>No.</v>
      </c>
      <c r="C142" s="20"/>
      <c r="D142" s="17" t="s">
        <v>543</v>
      </c>
      <c r="E142" s="19"/>
      <c r="F142" s="19"/>
      <c r="G142" s="19"/>
      <c r="H142" s="29"/>
      <c r="I142" s="32"/>
      <c r="J142" s="19"/>
      <c r="K142" s="19"/>
      <c r="L142" s="19"/>
      <c r="M142" s="19"/>
    </row>
    <row r="143" spans="2:13" ht="15">
      <c r="B143" s="97">
        <f>+B128+1</f>
        <v>79</v>
      </c>
      <c r="C143" s="20"/>
      <c r="D143" s="1019" t="s">
        <v>877</v>
      </c>
      <c r="E143" s="29"/>
      <c r="F143" s="29"/>
      <c r="G143" s="122"/>
      <c r="H143" s="122"/>
      <c r="I143" s="49"/>
      <c r="J143" s="50"/>
      <c r="K143" s="29"/>
      <c r="L143" s="122"/>
      <c r="M143" s="19"/>
    </row>
    <row r="144" spans="2:13" ht="15">
      <c r="B144" s="97">
        <f aca="true" t="shared" si="9" ref="B144:B150">+B143+1</f>
        <v>80</v>
      </c>
      <c r="C144" s="20"/>
      <c r="D144" s="1019" t="s">
        <v>877</v>
      </c>
      <c r="E144" s="29"/>
      <c r="F144" s="29"/>
      <c r="G144" s="122"/>
      <c r="H144" s="122"/>
      <c r="I144" s="49"/>
      <c r="J144" s="50"/>
      <c r="K144" s="29"/>
      <c r="L144" s="122"/>
      <c r="M144" s="19"/>
    </row>
    <row r="145" spans="2:13" ht="15">
      <c r="B145" s="97">
        <f t="shared" si="9"/>
        <v>81</v>
      </c>
      <c r="C145" s="20"/>
      <c r="D145" s="57" t="s">
        <v>842</v>
      </c>
      <c r="E145" s="19" t="s">
        <v>70</v>
      </c>
      <c r="F145" s="29"/>
      <c r="G145" s="122">
        <f>'Historic TCOS'!G145</f>
        <v>0</v>
      </c>
      <c r="H145" s="29"/>
      <c r="I145" s="49"/>
      <c r="J145" s="50"/>
      <c r="K145" s="29"/>
      <c r="L145" s="122"/>
      <c r="M145" s="19"/>
    </row>
    <row r="146" spans="2:13" ht="15">
      <c r="B146" s="97">
        <f t="shared" si="9"/>
        <v>82</v>
      </c>
      <c r="C146" s="20"/>
      <c r="D146" s="57" t="s">
        <v>855</v>
      </c>
      <c r="E146" s="19" t="s">
        <v>71</v>
      </c>
      <c r="F146" s="29"/>
      <c r="G146" s="122">
        <f>'Historic TCOS'!G146</f>
        <v>0</v>
      </c>
      <c r="H146" s="29"/>
      <c r="I146" s="49"/>
      <c r="J146" s="50"/>
      <c r="K146" s="29"/>
      <c r="L146" s="122"/>
      <c r="M146" s="19"/>
    </row>
    <row r="147" spans="2:13" ht="15" thickBot="1">
      <c r="B147" s="97">
        <f t="shared" si="9"/>
        <v>83</v>
      </c>
      <c r="C147" s="20"/>
      <c r="D147" s="57" t="s">
        <v>574</v>
      </c>
      <c r="E147" s="19" t="s">
        <v>69</v>
      </c>
      <c r="F147" s="29"/>
      <c r="G147" s="123">
        <f>'Historic TCOS'!G147</f>
        <v>15225</v>
      </c>
      <c r="H147" s="122"/>
      <c r="I147" s="102"/>
      <c r="J147" s="102"/>
      <c r="K147" s="102"/>
      <c r="L147" s="102"/>
      <c r="M147" s="18"/>
    </row>
    <row r="148" spans="2:13" ht="15">
      <c r="B148" s="97">
        <f t="shared" si="9"/>
        <v>84</v>
      </c>
      <c r="C148" s="20"/>
      <c r="D148" s="57" t="s">
        <v>856</v>
      </c>
      <c r="E148" s="29" t="str">
        <f>"(sum lns "&amp;B145&amp;"  to "&amp;B147&amp;")"</f>
        <v>(sum lns 81  to 83)</v>
      </c>
      <c r="F148" s="29"/>
      <c r="G148" s="122">
        <f>SUM(G143:G147)</f>
        <v>15225</v>
      </c>
      <c r="H148" s="122"/>
      <c r="I148" s="102"/>
      <c r="J148" s="102"/>
      <c r="K148" s="102"/>
      <c r="L148" s="102"/>
      <c r="M148" s="18"/>
    </row>
    <row r="149" spans="2:13" ht="15">
      <c r="B149" s="97">
        <f t="shared" si="9"/>
        <v>85</v>
      </c>
      <c r="C149" s="20"/>
      <c r="D149" s="57" t="s">
        <v>952</v>
      </c>
      <c r="E149" s="29" t="str">
        <f>"(Note G) (Worksheet F, ln "&amp;'WS F Misc Exp'!A31&amp;".C)"</f>
        <v>(Note G) (Worksheet F, ln 14.C)</v>
      </c>
      <c r="F149" s="29"/>
      <c r="G149" s="122">
        <f>'Historic TCOS'!G149</f>
        <v>238</v>
      </c>
      <c r="H149" s="122"/>
      <c r="I149" s="102"/>
      <c r="J149" s="102"/>
      <c r="K149" s="102"/>
      <c r="L149" s="102"/>
      <c r="M149" s="18"/>
    </row>
    <row r="150" spans="2:13" ht="15">
      <c r="B150" s="97">
        <f t="shared" si="9"/>
        <v>86</v>
      </c>
      <c r="C150" s="20"/>
      <c r="D150" s="57" t="s">
        <v>495</v>
      </c>
      <c r="E150" s="29" t="s">
        <v>540</v>
      </c>
      <c r="F150" s="29"/>
      <c r="G150" s="122">
        <f>'Historic TCOS'!G150</f>
        <v>0</v>
      </c>
      <c r="H150" s="122"/>
      <c r="I150" s="102"/>
      <c r="J150" s="102"/>
      <c r="K150" s="102"/>
      <c r="L150" s="102"/>
      <c r="M150" s="18"/>
    </row>
    <row r="151" spans="2:13" ht="15" thickBot="1">
      <c r="B151" s="501">
        <f>+B150+1</f>
        <v>87</v>
      </c>
      <c r="C151" s="80"/>
      <c r="D151" s="57" t="s">
        <v>119</v>
      </c>
      <c r="E151" s="29" t="s">
        <v>259</v>
      </c>
      <c r="F151" s="29"/>
      <c r="G151" s="123">
        <f>+'WS F Misc Exp'!D19</f>
        <v>0</v>
      </c>
      <c r="H151" s="122"/>
      <c r="I151" s="101"/>
      <c r="J151" s="101"/>
      <c r="K151" s="102"/>
      <c r="L151" s="102"/>
      <c r="M151" s="18"/>
    </row>
    <row r="152" spans="2:13" ht="15">
      <c r="B152" s="92">
        <f>+B151+1</f>
        <v>88</v>
      </c>
      <c r="C152" s="20"/>
      <c r="D152" s="57" t="s">
        <v>62</v>
      </c>
      <c r="E152" s="19" t="str">
        <f>"(lns "&amp;B147&amp;" - "&amp;B149&amp;" - "&amp;B150&amp;" - "&amp;B151&amp;")"</f>
        <v>(lns 83 - 85 - 86 - 87)</v>
      </c>
      <c r="F152" s="57"/>
      <c r="G152" s="122">
        <f>G147-G149-G150-G151</f>
        <v>14987</v>
      </c>
      <c r="H152" s="29"/>
      <c r="I152" s="32" t="s">
        <v>561</v>
      </c>
      <c r="J152" s="50">
        <f>VLOOKUP(I152,APCo_Proj_Allocators,2,FALSE)</f>
        <v>1</v>
      </c>
      <c r="K152" s="29"/>
      <c r="L152" s="122">
        <f>+G152*J152</f>
        <v>14987</v>
      </c>
      <c r="M152" s="26"/>
    </row>
    <row r="153" spans="2:13" ht="15">
      <c r="B153" s="92"/>
      <c r="C153" s="20"/>
      <c r="D153" s="57"/>
      <c r="E153" s="29"/>
      <c r="F153" s="29"/>
      <c r="G153" s="343"/>
      <c r="H153" s="122"/>
      <c r="I153" s="102"/>
      <c r="J153" s="102"/>
      <c r="K153" s="102"/>
      <c r="L153" s="102"/>
      <c r="M153" s="18"/>
    </row>
    <row r="154" spans="2:13" ht="15">
      <c r="B154" s="92">
        <f>+B152+1</f>
        <v>89</v>
      </c>
      <c r="C154" s="20"/>
      <c r="D154" s="17" t="s">
        <v>544</v>
      </c>
      <c r="E154" s="19" t="s">
        <v>260</v>
      </c>
      <c r="F154" s="19"/>
      <c r="G154" s="122">
        <f>'Historic TCOS'!G154</f>
        <v>169555</v>
      </c>
      <c r="H154" s="122"/>
      <c r="I154" s="43"/>
      <c r="J154" s="43"/>
      <c r="K154" s="19"/>
      <c r="L154" s="107"/>
      <c r="M154" s="19"/>
    </row>
    <row r="155" spans="2:13" ht="15">
      <c r="B155" s="92">
        <f aca="true" t="shared" si="10" ref="B155:B162">+B154+1</f>
        <v>90</v>
      </c>
      <c r="C155" s="20"/>
      <c r="D155" s="57" t="s">
        <v>954</v>
      </c>
      <c r="E155" s="19" t="s">
        <v>72</v>
      </c>
      <c r="F155" s="19"/>
      <c r="G155" s="122">
        <f>'Historic TCOS'!G155</f>
        <v>5</v>
      </c>
      <c r="H155" s="122"/>
      <c r="I155" s="43"/>
      <c r="J155" s="17"/>
      <c r="K155" s="19"/>
      <c r="L155" s="107"/>
      <c r="M155"/>
    </row>
    <row r="156" spans="2:13" ht="15">
      <c r="B156" s="92">
        <f t="shared" si="10"/>
        <v>91</v>
      </c>
      <c r="C156" s="20"/>
      <c r="D156" s="17" t="s">
        <v>953</v>
      </c>
      <c r="E156" s="19" t="s">
        <v>534</v>
      </c>
      <c r="F156" s="29"/>
      <c r="G156" s="122">
        <f>'Historic TCOS'!G156</f>
        <v>0</v>
      </c>
      <c r="H156" s="122"/>
      <c r="I156" s="43"/>
      <c r="J156" s="253"/>
      <c r="K156" s="19"/>
      <c r="L156" s="107"/>
      <c r="M156" s="19"/>
    </row>
    <row r="157" spans="2:13" ht="15">
      <c r="B157" s="92">
        <f t="shared" si="10"/>
        <v>92</v>
      </c>
      <c r="C157" s="20"/>
      <c r="D157" s="57" t="s">
        <v>548</v>
      </c>
      <c r="E157" s="19" t="s">
        <v>535</v>
      </c>
      <c r="F157" s="29"/>
      <c r="G157" s="122">
        <f>'Historic TCOS'!G157</f>
        <v>0</v>
      </c>
      <c r="H157" s="122"/>
      <c r="I157" s="43"/>
      <c r="J157" s="43"/>
      <c r="K157" s="19"/>
      <c r="L157" s="107"/>
      <c r="M157" s="19"/>
    </row>
    <row r="158" spans="2:13" ht="15" thickBot="1">
      <c r="B158" s="92">
        <f t="shared" si="10"/>
        <v>93</v>
      </c>
      <c r="C158" s="20"/>
      <c r="D158" s="57" t="s">
        <v>955</v>
      </c>
      <c r="E158" s="19" t="s">
        <v>536</v>
      </c>
      <c r="F158" s="29"/>
      <c r="G158" s="123">
        <f>'Historic TCOS'!G158</f>
        <v>0</v>
      </c>
      <c r="H158" s="122"/>
      <c r="I158" s="43"/>
      <c r="J158" s="43"/>
      <c r="K158" s="19"/>
      <c r="L158" s="107"/>
      <c r="M158" s="19"/>
    </row>
    <row r="159" spans="2:13" ht="15">
      <c r="B159" s="92">
        <f t="shared" si="10"/>
        <v>94</v>
      </c>
      <c r="C159" s="20"/>
      <c r="D159" s="17" t="s">
        <v>549</v>
      </c>
      <c r="E159" s="29" t="str">
        <f>"(ln "&amp;B154&amp;" - sum ln "&amp;B155&amp;"  to ln "&amp;B158&amp;")"</f>
        <v>(ln 89 - sum ln 90  to ln 93)</v>
      </c>
      <c r="F159" s="29"/>
      <c r="G159" s="122">
        <f>G154-SUM(G155:G158)</f>
        <v>169550</v>
      </c>
      <c r="H159" s="122"/>
      <c r="I159" s="32" t="s">
        <v>571</v>
      </c>
      <c r="J159" s="50">
        <f aca="true" t="shared" si="11" ref="J159:J164">VLOOKUP(I159,APCo_Proj_Allocators,2,FALSE)</f>
        <v>0.9987295825771325</v>
      </c>
      <c r="K159" s="19"/>
      <c r="L159" s="107">
        <f>+J159*G159</f>
        <v>169334.60072595283</v>
      </c>
      <c r="M159" s="19"/>
    </row>
    <row r="160" spans="2:13" ht="15">
      <c r="B160" s="92">
        <f t="shared" si="10"/>
        <v>95</v>
      </c>
      <c r="C160" s="80"/>
      <c r="D160" s="57" t="s">
        <v>657</v>
      </c>
      <c r="E160" s="29" t="str">
        <f>"(ln "&amp;B155&amp;")"</f>
        <v>(ln 90)</v>
      </c>
      <c r="F160" s="29"/>
      <c r="G160" s="122">
        <f>+G155</f>
        <v>5</v>
      </c>
      <c r="H160" s="122"/>
      <c r="I160" s="210" t="s">
        <v>960</v>
      </c>
      <c r="J160" s="50">
        <f t="shared" si="11"/>
        <v>0</v>
      </c>
      <c r="K160" s="29"/>
      <c r="L160" s="122">
        <f>+J160*G160</f>
        <v>0</v>
      </c>
      <c r="M160" s="19"/>
    </row>
    <row r="161" spans="2:13" ht="15">
      <c r="B161" s="92">
        <f t="shared" si="10"/>
        <v>96</v>
      </c>
      <c r="C161" s="20"/>
      <c r="D161" s="57" t="s">
        <v>761</v>
      </c>
      <c r="E161" s="29" t="str">
        <f>"Worksheet F ln "&amp;'WS F Misc Exp'!A41&amp;".(E) (Note L)"</f>
        <v>Worksheet F ln 20.(E) (Note L)</v>
      </c>
      <c r="F161" s="29"/>
      <c r="G161" s="122">
        <f>+'WS F Misc Exp'!F41</f>
        <v>0</v>
      </c>
      <c r="H161" s="122"/>
      <c r="I161" s="32" t="s">
        <v>561</v>
      </c>
      <c r="J161" s="50">
        <f t="shared" si="11"/>
        <v>1</v>
      </c>
      <c r="K161" s="19"/>
      <c r="L161" s="107">
        <f>J161*G161</f>
        <v>0</v>
      </c>
      <c r="M161" s="19"/>
    </row>
    <row r="162" spans="2:13" ht="15">
      <c r="B162" s="92">
        <f t="shared" si="10"/>
        <v>97</v>
      </c>
      <c r="C162" s="20"/>
      <c r="D162" s="57" t="s">
        <v>833</v>
      </c>
      <c r="E162" s="29" t="str">
        <f>"Worksheet F ln "&amp;'WS F Misc Exp'!A61&amp;".(E) (Note L)"</f>
        <v>Worksheet F ln 37.(E) (Note L)</v>
      </c>
      <c r="F162" s="29"/>
      <c r="G162" s="129">
        <f>+'WS F Misc Exp'!F61</f>
        <v>0</v>
      </c>
      <c r="H162" s="29"/>
      <c r="I162" s="49" t="s">
        <v>561</v>
      </c>
      <c r="J162" s="50">
        <f t="shared" si="11"/>
        <v>1</v>
      </c>
      <c r="K162" s="19"/>
      <c r="L162" s="144">
        <f>+J162*G162</f>
        <v>0</v>
      </c>
      <c r="M162" s="19"/>
    </row>
    <row r="163" spans="2:13" ht="15">
      <c r="B163" s="92">
        <f>+B162+1</f>
        <v>98</v>
      </c>
      <c r="C163" s="20"/>
      <c r="D163" s="57" t="s">
        <v>836</v>
      </c>
      <c r="E163" s="29" t="str">
        <f>"Worksheet F ln "&amp;'WS F Misc Exp'!A69&amp;".(E) (Note L)"</f>
        <v>Worksheet F ln 42.(E) (Note L)</v>
      </c>
      <c r="F163" s="29"/>
      <c r="G163" s="129">
        <f>+'WS F Misc Exp'!F69</f>
        <v>0</v>
      </c>
      <c r="H163" s="29"/>
      <c r="I163" s="49" t="s">
        <v>569</v>
      </c>
      <c r="J163" s="50">
        <f t="shared" si="11"/>
        <v>1</v>
      </c>
      <c r="K163" s="19"/>
      <c r="L163" s="107">
        <f>J163*G163</f>
        <v>0</v>
      </c>
      <c r="M163" s="19"/>
    </row>
    <row r="164" spans="2:13" ht="15" thickBot="1">
      <c r="B164" s="92">
        <f>+B163+1</f>
        <v>99</v>
      </c>
      <c r="C164" s="20"/>
      <c r="D164" s="57" t="s">
        <v>98</v>
      </c>
      <c r="E164" s="29" t="str">
        <f>"Worksheet O Ln "&amp;'Worksheet O'!A31&amp;" (B),  (Note K &amp; M)"</f>
        <v>Worksheet O Ln 16 (B),  (Note K &amp; M)</v>
      </c>
      <c r="F164" s="29"/>
      <c r="G164" s="123">
        <f>'Historic TCOS'!G164</f>
        <v>-587.5302000000001</v>
      </c>
      <c r="H164" s="29"/>
      <c r="I164" s="49" t="s">
        <v>571</v>
      </c>
      <c r="J164" s="50">
        <f t="shared" si="11"/>
        <v>0.9987295825771325</v>
      </c>
      <c r="K164" s="29"/>
      <c r="L164" s="123">
        <f>+G164*J164</f>
        <v>-586.7837913974594</v>
      </c>
      <c r="M164" s="479"/>
    </row>
    <row r="165" spans="2:13" ht="15">
      <c r="B165" s="92">
        <f>+B164+1</f>
        <v>100</v>
      </c>
      <c r="C165" s="20"/>
      <c r="D165" s="17" t="s">
        <v>550</v>
      </c>
      <c r="E165" s="29" t="str">
        <f>"(sum lns "&amp;B159&amp;"  to "&amp;B164&amp;")"</f>
        <v>(sum lns 94  to 99)</v>
      </c>
      <c r="F165" s="29"/>
      <c r="G165" s="107">
        <f>SUM(G159:G164)</f>
        <v>168967.4698</v>
      </c>
      <c r="H165" s="122"/>
      <c r="I165" s="32"/>
      <c r="J165" s="43"/>
      <c r="K165" s="19"/>
      <c r="L165" s="107">
        <f>SUM(L159:L164)</f>
        <v>168747.81693455536</v>
      </c>
      <c r="M165" s="19"/>
    </row>
    <row r="166" spans="2:13" ht="15" thickBot="1">
      <c r="B166" s="92"/>
      <c r="C166" s="20"/>
      <c r="D166" s="57"/>
      <c r="E166" s="29"/>
      <c r="F166" s="29"/>
      <c r="G166" s="123"/>
      <c r="H166" s="29"/>
      <c r="I166" s="32"/>
      <c r="J166" s="43"/>
      <c r="K166" s="19"/>
      <c r="L166" s="108"/>
      <c r="M166" s="19"/>
    </row>
    <row r="167" spans="2:13" ht="15">
      <c r="B167" s="96">
        <f>+B165+1</f>
        <v>101</v>
      </c>
      <c r="C167" s="80"/>
      <c r="D167" s="57" t="s">
        <v>66</v>
      </c>
      <c r="E167" s="29" t="str">
        <f>"(ln "&amp;B152&amp;" + ln "&amp;B165&amp;")"</f>
        <v>(ln 88 + ln 100)</v>
      </c>
      <c r="F167" s="29"/>
      <c r="G167" s="122">
        <f>+G152+G165</f>
        <v>183954.4698</v>
      </c>
      <c r="H167" s="122"/>
      <c r="I167" s="49"/>
      <c r="J167" s="29"/>
      <c r="K167" s="29"/>
      <c r="L167" s="122">
        <f>L152+L165</f>
        <v>183734.81693455536</v>
      </c>
      <c r="M167" s="19"/>
    </row>
    <row r="168" spans="2:13" ht="15">
      <c r="B168" s="92">
        <f>+B167+1</f>
        <v>102</v>
      </c>
      <c r="C168" s="80"/>
      <c r="D168" s="57" t="s">
        <v>245</v>
      </c>
      <c r="E168" s="29" t="s">
        <v>264</v>
      </c>
      <c r="F168" s="29"/>
      <c r="G168" s="122">
        <f>'Historic TCOS'!G168</f>
        <v>0</v>
      </c>
      <c r="H168" s="122"/>
      <c r="I168" s="32" t="s">
        <v>569</v>
      </c>
      <c r="J168" s="50">
        <f>VLOOKUP(I168,APCo_Proj_Allocators,2,FALSE)</f>
        <v>1</v>
      </c>
      <c r="K168" s="29"/>
      <c r="L168" s="107">
        <f>J168*G168</f>
        <v>0</v>
      </c>
      <c r="M168" s="19"/>
    </row>
    <row r="169" spans="2:13" ht="15" thickBot="1">
      <c r="B169" s="92">
        <f>+B168+1</f>
        <v>103</v>
      </c>
      <c r="C169" s="80"/>
      <c r="D169" s="57" t="s">
        <v>265</v>
      </c>
      <c r="E169" s="57"/>
      <c r="F169" s="29"/>
      <c r="G169" s="123">
        <f>+'Historic TCOS'!G169</f>
        <v>0</v>
      </c>
      <c r="H169" s="122"/>
      <c r="I169" s="32" t="s">
        <v>569</v>
      </c>
      <c r="J169" s="50">
        <f>VLOOKUP(I169,APCo_Proj_Allocators,2,FALSE)</f>
        <v>1</v>
      </c>
      <c r="K169" s="29"/>
      <c r="L169" s="108">
        <f>J169*G169</f>
        <v>0</v>
      </c>
      <c r="M169" s="19"/>
    </row>
    <row r="170" spans="2:13" ht="15">
      <c r="B170" s="92">
        <f>+B169+1</f>
        <v>104</v>
      </c>
      <c r="C170" s="20"/>
      <c r="D170" s="57" t="s">
        <v>551</v>
      </c>
      <c r="E170" s="29" t="str">
        <f>"(ln "&amp;B167&amp;" + ln "&amp;B168&amp;" + ln "&amp;B169&amp;")"</f>
        <v>(ln 101 + ln 102 + ln 103)</v>
      </c>
      <c r="F170" s="29"/>
      <c r="G170" s="122">
        <f>+G167+G168+G169</f>
        <v>183954.4698</v>
      </c>
      <c r="H170" s="122"/>
      <c r="I170" s="49"/>
      <c r="J170" s="29"/>
      <c r="K170" s="29"/>
      <c r="L170" s="122">
        <f>+L167+L168+L169</f>
        <v>183734.81693455536</v>
      </c>
      <c r="M170" s="19"/>
    </row>
    <row r="171" spans="2:13" ht="15">
      <c r="B171" s="92"/>
      <c r="C171" s="20"/>
      <c r="D171" s="57"/>
      <c r="E171" s="19"/>
      <c r="F171" s="19"/>
      <c r="G171" s="107"/>
      <c r="H171" s="29"/>
      <c r="I171" s="19"/>
      <c r="J171" s="19"/>
      <c r="K171" s="19"/>
      <c r="L171" s="107"/>
      <c r="M171" s="19"/>
    </row>
    <row r="172" spans="2:13" ht="15">
      <c r="B172" s="92">
        <f>+B170+1</f>
        <v>105</v>
      </c>
      <c r="C172" s="20"/>
      <c r="D172" s="42" t="s">
        <v>554</v>
      </c>
      <c r="E172" s="49"/>
      <c r="F172" s="49"/>
      <c r="G172" s="107"/>
      <c r="H172" s="29"/>
      <c r="I172" s="32"/>
      <c r="J172" s="19"/>
      <c r="K172" s="19"/>
      <c r="L172" s="107"/>
      <c r="M172" s="19"/>
    </row>
    <row r="173" spans="2:13" ht="15">
      <c r="B173" s="92">
        <f aca="true" t="shared" si="12" ref="B173:B180">+B172+1</f>
        <v>106</v>
      </c>
      <c r="C173" s="20"/>
      <c r="D173" s="1019" t="s">
        <v>877</v>
      </c>
      <c r="E173" s="29"/>
      <c r="F173" s="29"/>
      <c r="G173" s="122"/>
      <c r="H173" s="122"/>
      <c r="I173" s="49"/>
      <c r="J173" s="50"/>
      <c r="K173" s="29"/>
      <c r="L173" s="122"/>
      <c r="M173" s="19"/>
    </row>
    <row r="174" spans="2:13" ht="15">
      <c r="B174" s="92">
        <f t="shared" si="12"/>
        <v>107</v>
      </c>
      <c r="C174" s="20"/>
      <c r="D174" s="1019" t="s">
        <v>877</v>
      </c>
      <c r="E174" s="29"/>
      <c r="F174" s="29"/>
      <c r="G174" s="122"/>
      <c r="H174" s="122"/>
      <c r="I174" s="49"/>
      <c r="J174" s="50"/>
      <c r="K174" s="29"/>
      <c r="L174" s="122"/>
      <c r="M174" s="19"/>
    </row>
    <row r="175" spans="2:13" ht="15">
      <c r="B175" s="92">
        <f t="shared" si="12"/>
        <v>108</v>
      </c>
      <c r="C175" s="20"/>
      <c r="D175" s="45" t="str">
        <f>+D147</f>
        <v>  Transmission </v>
      </c>
      <c r="E175" s="308" t="s">
        <v>73</v>
      </c>
      <c r="F175" s="58"/>
      <c r="G175" s="285">
        <f>'Historic TCOS'!G175</f>
        <v>0</v>
      </c>
      <c r="H175" s="692"/>
      <c r="I175" s="699" t="s">
        <v>498</v>
      </c>
      <c r="J175" s="50">
        <f>VLOOKUP(I175,APCo_Proj_Allocators,2,FALSE)</f>
        <v>1</v>
      </c>
      <c r="K175" s="47"/>
      <c r="L175" s="122">
        <f>+G175*J175</f>
        <v>0</v>
      </c>
      <c r="M175" s="47"/>
    </row>
    <row r="176" spans="2:13" ht="15">
      <c r="B176" s="92">
        <f t="shared" si="12"/>
        <v>109</v>
      </c>
      <c r="C176" s="20"/>
      <c r="D176" s="466" t="s">
        <v>465</v>
      </c>
      <c r="E176" s="46"/>
      <c r="F176" s="46"/>
      <c r="G176" s="574">
        <f>+'WS I Projected Plant'!I34</f>
        <v>95894</v>
      </c>
      <c r="H176" s="692"/>
      <c r="I176" s="699" t="s">
        <v>569</v>
      </c>
      <c r="J176" s="50">
        <f>VLOOKUP(I176,APCo_Proj_Allocators,2,FALSE)</f>
        <v>1</v>
      </c>
      <c r="K176" s="19"/>
      <c r="L176" s="122">
        <f>+G176*J176</f>
        <v>95894</v>
      </c>
      <c r="M176" s="47"/>
    </row>
    <row r="177" spans="2:13" ht="15">
      <c r="B177" s="92">
        <f t="shared" si="12"/>
        <v>110</v>
      </c>
      <c r="C177" s="20"/>
      <c r="D177" s="466" t="str">
        <f>'Historic TCOS'!D177</f>
        <v>     Plus: Formation Costs Amortization</v>
      </c>
      <c r="E177" s="46" t="str">
        <f>"(Worksheet A ln "&amp;'WS A  - RB Support '!A91&amp;".C)"</f>
        <v>(Worksheet A ln 37.C)</v>
      </c>
      <c r="F177" s="46"/>
      <c r="G177" s="574">
        <f>'WS A  - RB Support '!E91</f>
        <v>13401</v>
      </c>
      <c r="H177" s="692"/>
      <c r="I177" s="699" t="s">
        <v>498</v>
      </c>
      <c r="J177" s="50">
        <f>VLOOKUP(I177,APCo_Proj_Allocators,2,FALSE)</f>
        <v>1</v>
      </c>
      <c r="K177" s="19"/>
      <c r="L177" s="122">
        <f>G177</f>
        <v>13401</v>
      </c>
      <c r="M177" s="47"/>
    </row>
    <row r="178" spans="2:13" ht="15">
      <c r="B178" s="92">
        <f t="shared" si="12"/>
        <v>111</v>
      </c>
      <c r="C178" s="20"/>
      <c r="D178" s="42" t="s">
        <v>575</v>
      </c>
      <c r="E178" s="58" t="s">
        <v>74</v>
      </c>
      <c r="F178" s="19"/>
      <c r="G178" s="122">
        <f>'Historic TCOS'!G178</f>
        <v>0</v>
      </c>
      <c r="H178" s="122"/>
      <c r="I178" s="32" t="s">
        <v>571</v>
      </c>
      <c r="J178" s="50">
        <f>VLOOKUP(I178,APCo_Proj_Allocators,2,FALSE)</f>
        <v>0.9987295825771325</v>
      </c>
      <c r="K178" s="19"/>
      <c r="L178" s="107">
        <f>+J178*G178</f>
        <v>0</v>
      </c>
      <c r="M178" s="19"/>
    </row>
    <row r="179" spans="2:13" ht="15" thickBot="1">
      <c r="B179" s="92">
        <f t="shared" si="12"/>
        <v>112</v>
      </c>
      <c r="C179" s="20"/>
      <c r="D179" s="42" t="s">
        <v>576</v>
      </c>
      <c r="E179" s="46" t="s">
        <v>75</v>
      </c>
      <c r="F179" s="29"/>
      <c r="G179" s="123">
        <f>'Historic TCOS'!G179</f>
        <v>0</v>
      </c>
      <c r="H179" s="122"/>
      <c r="I179" s="32" t="s">
        <v>571</v>
      </c>
      <c r="J179" s="50">
        <f>VLOOKUP(I179,APCo_Proj_Allocators,2,FALSE)</f>
        <v>0.9987295825771325</v>
      </c>
      <c r="K179" s="19"/>
      <c r="L179" s="108">
        <f>+J179*G179</f>
        <v>0</v>
      </c>
      <c r="M179" s="19"/>
    </row>
    <row r="180" spans="2:13" ht="15" customHeight="1">
      <c r="B180" s="92">
        <f t="shared" si="12"/>
        <v>113</v>
      </c>
      <c r="C180" s="20"/>
      <c r="D180" s="42" t="s">
        <v>924</v>
      </c>
      <c r="E180" s="29" t="str">
        <f>"(Lns "&amp;B175&amp;"+"&amp;B176&amp;"+"&amp;B178&amp;"+"&amp;B179&amp;")"</f>
        <v>(Lns 108+109+111+112)</v>
      </c>
      <c r="F180" s="19"/>
      <c r="G180" s="122">
        <f>+G173+G174+G175+G176+G177+G178+G179</f>
        <v>109295</v>
      </c>
      <c r="H180" s="29"/>
      <c r="I180" s="32"/>
      <c r="J180" s="19"/>
      <c r="K180" s="19"/>
      <c r="L180" s="122">
        <f>+L173+L174+L175+L176+L177+L178+L179</f>
        <v>109295</v>
      </c>
      <c r="M180" s="19"/>
    </row>
    <row r="181" spans="2:13" ht="15">
      <c r="B181" s="92"/>
      <c r="C181" s="20"/>
      <c r="D181" s="42"/>
      <c r="E181" s="19"/>
      <c r="F181" s="19"/>
      <c r="G181" s="107"/>
      <c r="H181" s="29"/>
      <c r="I181" s="32"/>
      <c r="J181" s="19"/>
      <c r="K181" s="19"/>
      <c r="L181" s="107"/>
      <c r="M181" s="19"/>
    </row>
    <row r="182" spans="2:13" ht="15">
      <c r="B182" s="92">
        <f>+B180+1</f>
        <v>114</v>
      </c>
      <c r="C182" s="20"/>
      <c r="D182" s="42" t="s">
        <v>502</v>
      </c>
      <c r="E182" s="15" t="s">
        <v>76</v>
      </c>
      <c r="F182" s="13"/>
      <c r="G182" s="107"/>
      <c r="H182" s="29"/>
      <c r="I182" s="32"/>
      <c r="J182" s="19"/>
      <c r="K182" s="19"/>
      <c r="L182" s="107"/>
      <c r="M182" s="19"/>
    </row>
    <row r="183" spans="2:13" ht="15">
      <c r="B183" s="92">
        <f aca="true" t="shared" si="13" ref="B183:B189">+B182+1</f>
        <v>115</v>
      </c>
      <c r="C183" s="20"/>
      <c r="D183" s="42" t="s">
        <v>577</v>
      </c>
      <c r="E183" s="13"/>
      <c r="F183" s="13"/>
      <c r="G183" s="107"/>
      <c r="H183" s="29"/>
      <c r="I183" s="32"/>
      <c r="J183" s="13"/>
      <c r="K183" s="19"/>
      <c r="L183" s="107"/>
      <c r="M183" s="19"/>
    </row>
    <row r="184" spans="2:13" ht="15">
      <c r="B184" s="92">
        <f t="shared" si="13"/>
        <v>116</v>
      </c>
      <c r="C184" s="20"/>
      <c r="D184" s="42" t="s">
        <v>578</v>
      </c>
      <c r="E184" s="29" t="str">
        <f>"Worksheet H ln "&amp;'WS H-p1 Other Taxes'!A41&amp;"."&amp;'WS H-p1 Other Taxes'!I8&amp;""</f>
        <v>Worksheet H ln 23.(D)</v>
      </c>
      <c r="F184" s="19"/>
      <c r="G184" s="122">
        <f>+'Historic TCOS'!G184</f>
        <v>0</v>
      </c>
      <c r="H184" s="122"/>
      <c r="I184" s="32" t="s">
        <v>571</v>
      </c>
      <c r="J184" s="50">
        <f>VLOOKUP(I184,APCo_Proj_Allocators,2,FALSE)</f>
        <v>0.9987295825771325</v>
      </c>
      <c r="K184" s="19"/>
      <c r="L184" s="107">
        <f>+J184*G184</f>
        <v>0</v>
      </c>
      <c r="M184" s="52"/>
    </row>
    <row r="185" spans="2:13" ht="15">
      <c r="B185" s="92">
        <f t="shared" si="13"/>
        <v>117</v>
      </c>
      <c r="C185" s="20"/>
      <c r="D185" s="42" t="s">
        <v>579</v>
      </c>
      <c r="E185" s="29" t="s">
        <v>555</v>
      </c>
      <c r="F185" s="19"/>
      <c r="G185" s="122"/>
      <c r="H185" s="122"/>
      <c r="I185" s="32"/>
      <c r="J185" s="13"/>
      <c r="K185" s="19"/>
      <c r="L185" s="107"/>
      <c r="M185" s="29"/>
    </row>
    <row r="186" spans="2:13" ht="15">
      <c r="B186" s="96">
        <f t="shared" si="13"/>
        <v>118</v>
      </c>
      <c r="C186" s="80"/>
      <c r="D186" s="61" t="s">
        <v>580</v>
      </c>
      <c r="E186" s="29" t="str">
        <f>"Worksheet H ln "&amp;'WS H-p1 Other Taxes'!A41&amp;".(C) &amp; ln "&amp;'WS H-p1 Other Taxes'!A85&amp;"."&amp;'WS H-p1 Other Taxes'!G8&amp;""</f>
        <v>Worksheet H ln 23.(C) &amp; ln 58.(C)</v>
      </c>
      <c r="F186" s="29"/>
      <c r="G186" s="122">
        <f>+'Historic TCOS'!G186</f>
        <v>0</v>
      </c>
      <c r="H186" s="122"/>
      <c r="I186" s="49" t="str">
        <f>+'Historic TCOS'!I186</f>
        <v>DA</v>
      </c>
      <c r="J186" s="50"/>
      <c r="K186" s="29"/>
      <c r="L186" s="122">
        <f>+'WS H-p1 Other Taxes'!G85</f>
        <v>0</v>
      </c>
      <c r="M186" s="29"/>
    </row>
    <row r="187" spans="2:13" ht="15">
      <c r="B187" s="92">
        <f t="shared" si="13"/>
        <v>119</v>
      </c>
      <c r="C187" s="20"/>
      <c r="D187" s="42" t="s">
        <v>660</v>
      </c>
      <c r="E187" s="29" t="str">
        <f>"Worksheet H ln "&amp;'WS H-p1 Other Taxes'!A41&amp;"."&amp;'WS H-p1 Other Taxes'!M8&amp;""</f>
        <v>Worksheet H ln 23.(F)</v>
      </c>
      <c r="F187" s="19"/>
      <c r="G187" s="122">
        <f>+'Historic TCOS'!G187</f>
        <v>-765</v>
      </c>
      <c r="H187" s="101"/>
      <c r="I187" s="32" t="s">
        <v>567</v>
      </c>
      <c r="J187" s="50">
        <f>VLOOKUP(I187,APCo_Proj_Allocators,2,FALSE)</f>
        <v>0</v>
      </c>
      <c r="K187" s="19"/>
      <c r="L187" s="107">
        <f>+J187*G187</f>
        <v>0</v>
      </c>
      <c r="M187" s="29"/>
    </row>
    <row r="188" spans="2:13" ht="15" thickBot="1">
      <c r="B188" s="92">
        <f t="shared" si="13"/>
        <v>120</v>
      </c>
      <c r="C188" s="20"/>
      <c r="D188" s="42" t="s">
        <v>581</v>
      </c>
      <c r="E188" s="29" t="str">
        <f>"Worksheet H ln "&amp;'WS H-p1 Other Taxes'!A41&amp;"."&amp;'WS H-p1 Other Taxes'!K8&amp;""</f>
        <v>Worksheet H ln 23.(E)</v>
      </c>
      <c r="F188" s="19"/>
      <c r="G188" s="123">
        <f>+'Historic TCOS'!G188</f>
        <v>0</v>
      </c>
      <c r="H188" s="101"/>
      <c r="I188" s="32" t="s">
        <v>960</v>
      </c>
      <c r="J188" s="50">
        <f>VLOOKUP(I188,APCo_Proj_Allocators,2,FALSE)</f>
        <v>0</v>
      </c>
      <c r="K188" s="19"/>
      <c r="L188" s="108">
        <f>+J188*G188</f>
        <v>0</v>
      </c>
      <c r="M188" s="29"/>
    </row>
    <row r="189" spans="2:13" ht="15">
      <c r="B189" s="92">
        <f t="shared" si="13"/>
        <v>121</v>
      </c>
      <c r="C189" s="20"/>
      <c r="D189" s="42" t="s">
        <v>503</v>
      </c>
      <c r="E189" s="105" t="str">
        <f>"(sum lns "&amp;B184&amp;" to "&amp;B188&amp;")"</f>
        <v>(sum lns 116 to 120)</v>
      </c>
      <c r="F189" s="19"/>
      <c r="G189" s="122">
        <f>SUM(G184:G188)</f>
        <v>-765</v>
      </c>
      <c r="H189" s="29"/>
      <c r="I189" s="32"/>
      <c r="J189" s="31"/>
      <c r="K189" s="19"/>
      <c r="L189" s="107">
        <f>SUM(L184:L188)</f>
        <v>0</v>
      </c>
      <c r="M189" s="19"/>
    </row>
    <row r="190" spans="2:13" ht="15">
      <c r="B190" s="92"/>
      <c r="C190" s="20"/>
      <c r="D190" s="42"/>
      <c r="E190" s="19"/>
      <c r="F190" s="19"/>
      <c r="G190" s="19"/>
      <c r="H190" s="29"/>
      <c r="I190" s="32"/>
      <c r="J190" s="31"/>
      <c r="K190" s="19"/>
      <c r="L190" s="19"/>
      <c r="M190" s="468"/>
    </row>
    <row r="191" spans="2:13" ht="15">
      <c r="B191" s="92">
        <f>+B189+1</f>
        <v>122</v>
      </c>
      <c r="C191" s="20"/>
      <c r="D191" s="42" t="s">
        <v>962</v>
      </c>
      <c r="E191" s="29" t="s">
        <v>77</v>
      </c>
      <c r="F191" s="64"/>
      <c r="G191" s="19"/>
      <c r="H191" s="102"/>
      <c r="I191" s="23"/>
      <c r="J191" s="13"/>
      <c r="K191" s="19"/>
      <c r="L191" s="13"/>
      <c r="M191" s="19"/>
    </row>
    <row r="192" spans="2:13" ht="15">
      <c r="B192" s="92">
        <f aca="true" t="shared" si="14" ref="B192:B197">+B191+1</f>
        <v>123</v>
      </c>
      <c r="C192" s="20"/>
      <c r="D192" s="60" t="s">
        <v>963</v>
      </c>
      <c r="E192" s="19"/>
      <c r="F192" s="503"/>
      <c r="G192" s="429">
        <f>IF(F354&gt;0,1-(((1-F355)*(1-F354))/(1-F355*F354*F356)),0)</f>
        <v>0.389</v>
      </c>
      <c r="H192" s="102"/>
      <c r="I192" s="23"/>
      <c r="J192" s="13"/>
      <c r="K192" s="19"/>
      <c r="L192" s="13"/>
      <c r="M192" s="19"/>
    </row>
    <row r="193" spans="2:14" ht="15">
      <c r="B193" s="92">
        <f t="shared" si="14"/>
        <v>124</v>
      </c>
      <c r="C193" s="20"/>
      <c r="D193" s="51" t="s">
        <v>964</v>
      </c>
      <c r="E193" s="19"/>
      <c r="F193" s="503"/>
      <c r="G193" s="429">
        <f>IF(L253&gt;0,($G192/(1-$G192))*(1-$L253/$L256),0)</f>
        <v>0.4706549751491049</v>
      </c>
      <c r="H193" s="102"/>
      <c r="I193" s="23"/>
      <c r="J193" s="13"/>
      <c r="K193" s="19"/>
      <c r="L193" s="13"/>
      <c r="M193" s="19"/>
      <c r="N193" s="649"/>
    </row>
    <row r="194" spans="2:13" ht="15">
      <c r="B194" s="92">
        <f t="shared" si="14"/>
        <v>125</v>
      </c>
      <c r="C194" s="20"/>
      <c r="D194" s="61" t="str">
        <f>"       where WCLTD=(ln "&amp;B272&amp;") and WACC = (ln "&amp;B275&amp;")"</f>
        <v>       where WCLTD=(ln 174) and WACC = (ln 177)</v>
      </c>
      <c r="E194" s="29"/>
      <c r="F194" s="700"/>
      <c r="G194" s="19"/>
      <c r="H194" s="781"/>
      <c r="I194" s="23"/>
      <c r="J194" s="701"/>
      <c r="K194" s="19"/>
      <c r="L194" s="702"/>
      <c r="M194" s="19"/>
    </row>
    <row r="195" spans="2:13" ht="15">
      <c r="B195" s="92">
        <f t="shared" si="14"/>
        <v>126</v>
      </c>
      <c r="C195" s="20"/>
      <c r="D195" s="42" t="s">
        <v>80</v>
      </c>
      <c r="E195" s="703"/>
      <c r="F195" s="503"/>
      <c r="G195" s="19"/>
      <c r="H195" s="102"/>
      <c r="I195" s="23"/>
      <c r="J195" s="701"/>
      <c r="K195" s="19"/>
      <c r="L195" s="13"/>
      <c r="M195" s="19"/>
    </row>
    <row r="196" spans="2:20" ht="15">
      <c r="B196" s="92">
        <f t="shared" si="14"/>
        <v>127</v>
      </c>
      <c r="C196" s="20"/>
      <c r="D196" s="62" t="str">
        <f>"      GRCF=1 / (1 - T)  = (from ln "&amp;B192&amp;")"</f>
        <v>      GRCF=1 / (1 - T)  = (from ln 123)</v>
      </c>
      <c r="E196" s="64"/>
      <c r="F196" s="64"/>
      <c r="G196" s="430">
        <f>IF(G192&gt;0,1/(1-G192),0)</f>
        <v>1.6366612111292962</v>
      </c>
      <c r="H196" s="102"/>
      <c r="I196" s="128"/>
      <c r="J196" s="704"/>
      <c r="K196" s="107"/>
      <c r="L196" s="546"/>
      <c r="M196" s="19"/>
      <c r="N196"/>
      <c r="O196"/>
      <c r="P196"/>
      <c r="Q196"/>
      <c r="R196"/>
      <c r="S196"/>
      <c r="T196"/>
    </row>
    <row r="197" spans="2:20" ht="15">
      <c r="B197" s="92">
        <f t="shared" si="14"/>
        <v>128</v>
      </c>
      <c r="C197" s="20"/>
      <c r="D197" s="42" t="s">
        <v>965</v>
      </c>
      <c r="E197" s="43" t="s">
        <v>292</v>
      </c>
      <c r="F197" s="64"/>
      <c r="G197" s="122">
        <f>+'Historic TCOS'!G197</f>
        <v>0</v>
      </c>
      <c r="H197" s="102"/>
      <c r="I197" s="128"/>
      <c r="J197" s="705"/>
      <c r="K197" s="107"/>
      <c r="M197" s="32"/>
      <c r="N197"/>
      <c r="O197"/>
      <c r="P197"/>
      <c r="Q197"/>
      <c r="R197"/>
      <c r="S197"/>
      <c r="T197"/>
    </row>
    <row r="198" spans="2:20" ht="15">
      <c r="B198" s="92"/>
      <c r="C198" s="20"/>
      <c r="D198" s="42"/>
      <c r="E198" s="19"/>
      <c r="F198" s="503"/>
      <c r="G198" s="107"/>
      <c r="H198" s="102"/>
      <c r="I198" s="128"/>
      <c r="J198" s="702"/>
      <c r="K198" s="107"/>
      <c r="L198" s="13"/>
      <c r="M198" s="19"/>
      <c r="N198"/>
      <c r="O198"/>
      <c r="P198"/>
      <c r="Q198"/>
      <c r="R198"/>
      <c r="S198"/>
      <c r="T198"/>
    </row>
    <row r="199" spans="2:20" ht="15">
      <c r="B199" s="92">
        <f>+B197+1</f>
        <v>129</v>
      </c>
      <c r="C199" s="20"/>
      <c r="D199" s="60" t="s">
        <v>971</v>
      </c>
      <c r="E199" s="63" t="str">
        <f>"(ln "&amp;B193&amp;" * ln "&amp;B203&amp;")"</f>
        <v>(ln 124 * ln 132)</v>
      </c>
      <c r="F199" s="160"/>
      <c r="G199" s="107">
        <f>+G193*G203</f>
        <v>967990.2929917698</v>
      </c>
      <c r="H199" s="102"/>
      <c r="I199" s="128"/>
      <c r="J199" s="702"/>
      <c r="K199" s="107"/>
      <c r="L199" s="107">
        <f>+L203*G193</f>
        <v>967990.2929917698</v>
      </c>
      <c r="M199" s="19"/>
      <c r="N199"/>
      <c r="O199"/>
      <c r="P199"/>
      <c r="Q199"/>
      <c r="R199"/>
      <c r="S199"/>
      <c r="T199"/>
    </row>
    <row r="200" spans="2:20" ht="15" thickBot="1">
      <c r="B200" s="92">
        <f>+B199+1</f>
        <v>130</v>
      </c>
      <c r="C200" s="20"/>
      <c r="D200" s="51" t="s">
        <v>972</v>
      </c>
      <c r="E200" s="63" t="str">
        <f>"(ln "&amp;B196&amp;" * ln "&amp;B197&amp;")"</f>
        <v>(ln 127 * ln 128)</v>
      </c>
      <c r="F200" s="63"/>
      <c r="G200" s="108">
        <f>G196*G197</f>
        <v>0</v>
      </c>
      <c r="H200" s="102"/>
      <c r="I200" s="200" t="s">
        <v>961</v>
      </c>
      <c r="J200" s="50">
        <f>VLOOKUP(I200,APCo_Proj_Allocators,2,FALSE)</f>
        <v>0</v>
      </c>
      <c r="K200" s="107"/>
      <c r="L200" s="108">
        <f>+G200*J200</f>
        <v>0</v>
      </c>
      <c r="M200" s="19"/>
      <c r="N200"/>
      <c r="O200"/>
      <c r="P200"/>
      <c r="Q200"/>
      <c r="R200"/>
      <c r="S200"/>
      <c r="T200"/>
    </row>
    <row r="201" spans="2:20" ht="15">
      <c r="B201" s="92">
        <f>+B200+1</f>
        <v>131</v>
      </c>
      <c r="C201" s="20"/>
      <c r="D201" s="60" t="s">
        <v>504</v>
      </c>
      <c r="E201" s="19" t="str">
        <f>"(sum lns "&amp;B199&amp;" to "&amp;B200&amp;")"</f>
        <v>(sum lns 129 to 130)</v>
      </c>
      <c r="F201" s="63"/>
      <c r="G201" s="131">
        <f>SUM(G199:G200)</f>
        <v>967990.2929917698</v>
      </c>
      <c r="H201" s="102"/>
      <c r="I201" s="128" t="s">
        <v>555</v>
      </c>
      <c r="J201" s="706"/>
      <c r="K201" s="107"/>
      <c r="L201" s="131">
        <f>SUM(L199:L200)</f>
        <v>967990.2929917698</v>
      </c>
      <c r="M201" s="19"/>
      <c r="N201"/>
      <c r="O201"/>
      <c r="P201"/>
      <c r="Q201"/>
      <c r="R201"/>
      <c r="S201"/>
      <c r="T201"/>
    </row>
    <row r="202" spans="2:20" ht="15">
      <c r="B202" s="92"/>
      <c r="C202" s="20"/>
      <c r="D202" s="42"/>
      <c r="E202" s="19"/>
      <c r="F202" s="19"/>
      <c r="G202" s="19"/>
      <c r="H202" s="29"/>
      <c r="I202" s="32"/>
      <c r="J202" s="31"/>
      <c r="K202" s="19"/>
      <c r="L202" s="19"/>
      <c r="M202" s="19"/>
      <c r="N202"/>
      <c r="O202"/>
      <c r="P202"/>
      <c r="Q202"/>
      <c r="R202"/>
      <c r="S202"/>
      <c r="T202"/>
    </row>
    <row r="203" spans="2:20" ht="15">
      <c r="B203" s="92">
        <f>+B201+1</f>
        <v>132</v>
      </c>
      <c r="C203" s="20"/>
      <c r="D203" s="62" t="s">
        <v>1003</v>
      </c>
      <c r="E203" s="62" t="str">
        <f>"(ln "&amp;B128&amp;" * ln "&amp;B275&amp;")"</f>
        <v>(ln 78 * ln 177)</v>
      </c>
      <c r="F203" s="48"/>
      <c r="G203" s="1161">
        <f>+$L256*G128</f>
        <v>2056687.6886515596</v>
      </c>
      <c r="H203" s="29"/>
      <c r="I203" s="128"/>
      <c r="J203" s="107"/>
      <c r="K203" s="107"/>
      <c r="L203" s="1161">
        <f>+L256*L128</f>
        <v>2056687.6886515596</v>
      </c>
      <c r="M203" s="19"/>
      <c r="N203"/>
      <c r="O203"/>
      <c r="P203"/>
      <c r="Q203"/>
      <c r="R203"/>
      <c r="S203"/>
      <c r="T203"/>
    </row>
    <row r="204" spans="2:20" ht="15">
      <c r="B204" s="92"/>
      <c r="C204" s="20"/>
      <c r="D204" s="60"/>
      <c r="E204" s="13"/>
      <c r="F204" s="13"/>
      <c r="G204" s="107"/>
      <c r="H204" s="107"/>
      <c r="I204" s="128"/>
      <c r="J204" s="128"/>
      <c r="K204" s="107"/>
      <c r="L204" s="107"/>
      <c r="M204" s="19"/>
      <c r="N204"/>
      <c r="O204"/>
      <c r="P204"/>
      <c r="Q204"/>
      <c r="R204"/>
      <c r="S204"/>
      <c r="T204"/>
    </row>
    <row r="205" spans="2:20" ht="15">
      <c r="B205" s="92">
        <f>+B203+1</f>
        <v>133</v>
      </c>
      <c r="C205" s="20"/>
      <c r="D205" s="691" t="s">
        <v>539</v>
      </c>
      <c r="E205" s="13"/>
      <c r="F205" s="58"/>
      <c r="G205" s="122">
        <f>-'WS D IPP Credits'!C11</f>
        <v>0</v>
      </c>
      <c r="H205" s="122"/>
      <c r="I205" s="132" t="s">
        <v>569</v>
      </c>
      <c r="J205" s="50">
        <f>VLOOKUP(I205,APCo_Proj_Allocators,2,FALSE)</f>
        <v>1</v>
      </c>
      <c r="K205" s="120"/>
      <c r="L205" s="107">
        <f>+J205*G205</f>
        <v>0</v>
      </c>
      <c r="M205" s="47"/>
      <c r="N205"/>
      <c r="O205"/>
      <c r="P205"/>
      <c r="Q205"/>
      <c r="R205"/>
      <c r="S205"/>
      <c r="T205"/>
    </row>
    <row r="206" spans="2:20" ht="15">
      <c r="B206" s="92"/>
      <c r="C206" s="20"/>
      <c r="D206" s="691"/>
      <c r="E206" s="13"/>
      <c r="F206" s="58"/>
      <c r="G206" s="122"/>
      <c r="H206" s="122"/>
      <c r="I206" s="132"/>
      <c r="J206" s="50"/>
      <c r="K206" s="120"/>
      <c r="L206" s="107"/>
      <c r="M206" s="47"/>
      <c r="N206"/>
      <c r="O206"/>
      <c r="P206"/>
      <c r="Q206"/>
      <c r="R206"/>
      <c r="S206"/>
      <c r="T206"/>
    </row>
    <row r="207" spans="2:20" ht="15">
      <c r="B207" s="92">
        <f>+B205+1</f>
        <v>134</v>
      </c>
      <c r="C207" s="20"/>
      <c r="D207" s="691"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2">
        <f>+'WS N - Sale of Plant Held'!O31</f>
        <v>0</v>
      </c>
      <c r="H207" s="122"/>
      <c r="I207" s="574"/>
      <c r="J207" s="50"/>
      <c r="K207" s="285"/>
      <c r="L207" s="122">
        <f>'WS N - Sale of Plant Held'!S31</f>
        <v>0</v>
      </c>
      <c r="M207" s="278"/>
      <c r="N207" s="707"/>
      <c r="O207"/>
      <c r="P207"/>
      <c r="Q207"/>
      <c r="R207"/>
      <c r="S207"/>
      <c r="T207"/>
    </row>
    <row r="208" spans="2:20" ht="15">
      <c r="B208" s="92"/>
      <c r="C208" s="20"/>
      <c r="D208" s="691"/>
      <c r="E208" s="15"/>
      <c r="F208" s="46"/>
      <c r="G208" s="122"/>
      <c r="H208" s="122"/>
      <c r="I208" s="574"/>
      <c r="J208" s="50"/>
      <c r="K208" s="285"/>
      <c r="L208" s="122"/>
      <c r="M208" s="278"/>
      <c r="N208" s="707"/>
      <c r="O208"/>
      <c r="P208"/>
      <c r="Q208"/>
      <c r="R208"/>
      <c r="S208"/>
      <c r="T208"/>
    </row>
    <row r="209" spans="2:20" ht="15">
      <c r="B209" s="92">
        <f>+B207+1</f>
        <v>135</v>
      </c>
      <c r="C209" s="20"/>
      <c r="D209" s="691" t="str">
        <f>" Tax Impact on (Gains) / Losses on Sales of Plant Held for Future Use (ln "&amp;B207&amp;" * ln"&amp;B193&amp;")"</f>
        <v> Tax Impact on (Gains) / Losses on Sales of Plant Held for Future Use (ln 134 * ln124)</v>
      </c>
      <c r="E209" s="15"/>
      <c r="F209" s="46"/>
      <c r="G209" s="122">
        <f>-+G193*G207</f>
        <v>0</v>
      </c>
      <c r="H209" s="122"/>
      <c r="I209" s="574"/>
      <c r="J209" s="50"/>
      <c r="K209" s="285"/>
      <c r="L209" s="122">
        <f>L207*-G193</f>
        <v>0</v>
      </c>
      <c r="M209" s="278"/>
      <c r="N209" s="707"/>
      <c r="O209"/>
      <c r="P209"/>
      <c r="Q209"/>
      <c r="R209"/>
      <c r="S209"/>
      <c r="T209"/>
    </row>
    <row r="210" spans="2:20" ht="15" thickBot="1">
      <c r="B210" s="92"/>
      <c r="C210" s="20"/>
      <c r="D210" s="42"/>
      <c r="E210" s="13"/>
      <c r="F210" s="13"/>
      <c r="G210" s="108"/>
      <c r="H210" s="140"/>
      <c r="I210" s="128"/>
      <c r="J210" s="128"/>
      <c r="K210" s="107"/>
      <c r="L210" s="108"/>
      <c r="M210" s="19"/>
      <c r="N210"/>
      <c r="O210"/>
      <c r="P210"/>
      <c r="Q210"/>
      <c r="R210"/>
      <c r="S210"/>
      <c r="T210"/>
    </row>
    <row r="211" spans="2:20" ht="15" thickBot="1">
      <c r="B211" s="92">
        <f>+B209+1</f>
        <v>136</v>
      </c>
      <c r="C211" s="20"/>
      <c r="D211" s="13" t="s">
        <v>857</v>
      </c>
      <c r="E211" s="13"/>
      <c r="F211" s="13"/>
      <c r="G211" s="157">
        <f>+G205+G203+G201+G189+G180+G170+G207+G209</f>
        <v>3317162.4514433295</v>
      </c>
      <c r="H211" s="13"/>
      <c r="I211" s="13"/>
      <c r="J211" s="13"/>
      <c r="K211" s="13"/>
      <c r="L211" s="157">
        <f>+L205+L203+L201+L189+L180+L170+L207+L209</f>
        <v>3317707.7985778847</v>
      </c>
      <c r="M211" s="19"/>
      <c r="N211"/>
      <c r="O211"/>
      <c r="P211"/>
      <c r="Q211"/>
      <c r="R211"/>
      <c r="S211"/>
      <c r="T211"/>
    </row>
    <row r="212" spans="2:20" ht="15" thickTop="1">
      <c r="B212" s="92"/>
      <c r="C212" s="20"/>
      <c r="D212" s="17" t="str">
        <f>"    (sum lns "&amp;B170&amp;", "&amp;B180&amp;", "&amp;B189&amp;", "&amp;B201&amp;", "&amp;B203&amp;", "&amp;B205&amp;", "&amp;B207&amp;", "&amp;B209&amp;")"</f>
        <v>    (sum lns 104, 113, 121, 131, 132, 133, 134, 135)</v>
      </c>
      <c r="E212" s="13"/>
      <c r="F212" s="125"/>
      <c r="G212" s="13"/>
      <c r="H212" s="13"/>
      <c r="I212" s="13"/>
      <c r="J212" s="13"/>
      <c r="K212" s="13"/>
      <c r="L212" s="728"/>
      <c r="M212" s="19"/>
      <c r="N212"/>
      <c r="O212"/>
      <c r="P212"/>
      <c r="Q212"/>
      <c r="R212"/>
      <c r="S212"/>
      <c r="T212"/>
    </row>
    <row r="213" spans="2:20" ht="15">
      <c r="B213" s="92"/>
      <c r="C213" s="20"/>
      <c r="D213" s="13"/>
      <c r="E213" s="13"/>
      <c r="F213" s="125"/>
      <c r="G213" s="13"/>
      <c r="H213" s="13"/>
      <c r="I213" s="13"/>
      <c r="J213" s="13"/>
      <c r="K213" s="13"/>
      <c r="L213" s="728"/>
      <c r="M213" s="19"/>
      <c r="N213"/>
      <c r="O213"/>
      <c r="P213"/>
      <c r="Q213"/>
      <c r="R213"/>
      <c r="S213"/>
      <c r="T213"/>
    </row>
    <row r="214" spans="2:20" ht="15">
      <c r="B214" s="92"/>
      <c r="C214" s="20"/>
      <c r="D214" s="17"/>
      <c r="E214" s="13"/>
      <c r="F214" s="23" t="str">
        <f>F131</f>
        <v>AEPTCo subsidiaries in PJM</v>
      </c>
      <c r="G214" s="13"/>
      <c r="H214" s="13"/>
      <c r="I214" s="13"/>
      <c r="J214" s="13"/>
      <c r="K214" s="13"/>
      <c r="L214" s="13"/>
      <c r="M214" s="65"/>
      <c r="N214"/>
      <c r="O214"/>
      <c r="P214"/>
      <c r="Q214"/>
      <c r="R214"/>
      <c r="S214"/>
      <c r="T214"/>
    </row>
    <row r="215" spans="2:20" ht="15">
      <c r="B215" s="92"/>
      <c r="C215" s="20"/>
      <c r="D215" s="17"/>
      <c r="E215" s="13"/>
      <c r="F215" s="23" t="str">
        <f>F132</f>
        <v>Transmission Cost of Service Formula Rate</v>
      </c>
      <c r="G215" s="13"/>
      <c r="H215" s="13"/>
      <c r="I215" s="13"/>
      <c r="J215" s="13"/>
      <c r="K215" s="13"/>
      <c r="L215" s="646"/>
      <c r="M215" s="65"/>
      <c r="N215"/>
      <c r="O215"/>
      <c r="P215"/>
      <c r="Q215"/>
      <c r="R215"/>
      <c r="S215"/>
      <c r="T215"/>
    </row>
    <row r="216" spans="2:20" ht="15">
      <c r="B216" s="13"/>
      <c r="C216" s="20"/>
      <c r="D216" s="13"/>
      <c r="E216" s="13"/>
      <c r="F216" s="23" t="str">
        <f>F133</f>
        <v>Utilizing  Historic Cost Data for 2014 and Projected Net Plant at Year-End 2015</v>
      </c>
      <c r="G216" s="13"/>
      <c r="H216" s="13"/>
      <c r="I216" s="13"/>
      <c r="J216" s="13"/>
      <c r="K216" s="13"/>
      <c r="M216" s="145"/>
      <c r="N216"/>
      <c r="O216"/>
      <c r="P216"/>
      <c r="Q216"/>
      <c r="R216"/>
      <c r="S216"/>
      <c r="T216"/>
    </row>
    <row r="217" spans="2:20" ht="15">
      <c r="B217" s="92"/>
      <c r="C217" s="20"/>
      <c r="E217" s="23"/>
      <c r="F217" s="23"/>
      <c r="G217" s="23"/>
      <c r="H217" s="23"/>
      <c r="I217" s="23"/>
      <c r="J217" s="23"/>
      <c r="K217" s="23"/>
      <c r="M217" s="19"/>
      <c r="N217"/>
      <c r="O217"/>
      <c r="P217"/>
      <c r="Q217"/>
      <c r="R217"/>
      <c r="S217"/>
      <c r="T217"/>
    </row>
    <row r="218" spans="2:20" ht="15">
      <c r="B218" s="92"/>
      <c r="C218" s="20"/>
      <c r="D218" s="13"/>
      <c r="E218" s="17"/>
      <c r="F218" s="23" t="str">
        <f>F135</f>
        <v>AEP KENTUCKY TRANSMISSION COMPANY</v>
      </c>
      <c r="G218" s="17"/>
      <c r="H218" s="17"/>
      <c r="I218" s="17"/>
      <c r="J218" s="17"/>
      <c r="K218" s="17"/>
      <c r="L218" s="17"/>
      <c r="M218" s="17"/>
      <c r="N218"/>
      <c r="O218"/>
      <c r="P218"/>
      <c r="Q218"/>
      <c r="R218"/>
      <c r="S218"/>
      <c r="T218"/>
    </row>
    <row r="219" spans="2:20" ht="15">
      <c r="B219" s="92"/>
      <c r="C219" s="20"/>
      <c r="D219" s="13"/>
      <c r="E219" s="17"/>
      <c r="F219" s="23"/>
      <c r="G219" s="17"/>
      <c r="H219" s="17"/>
      <c r="I219" s="17"/>
      <c r="J219" s="17"/>
      <c r="K219" s="17"/>
      <c r="L219" s="17"/>
      <c r="M219" s="17"/>
      <c r="N219"/>
      <c r="O219"/>
      <c r="P219"/>
      <c r="Q219"/>
      <c r="R219"/>
      <c r="S219"/>
      <c r="T219"/>
    </row>
    <row r="220" spans="2:20" ht="15">
      <c r="B220" s="92"/>
      <c r="C220" s="20"/>
      <c r="D220" s="13"/>
      <c r="F220" s="38" t="s">
        <v>509</v>
      </c>
      <c r="G220" s="13"/>
      <c r="H220" s="18"/>
      <c r="I220" s="18"/>
      <c r="J220" s="18"/>
      <c r="K220" s="18"/>
      <c r="L220" s="18"/>
      <c r="M220" s="19"/>
      <c r="N220"/>
      <c r="O220"/>
      <c r="P220"/>
      <c r="Q220"/>
      <c r="R220"/>
      <c r="S220"/>
      <c r="T220"/>
    </row>
    <row r="221" spans="2:20" ht="15">
      <c r="B221" s="92"/>
      <c r="C221" s="20"/>
      <c r="D221" s="40"/>
      <c r="E221" s="18"/>
      <c r="F221" s="18"/>
      <c r="G221" s="18"/>
      <c r="H221" s="18"/>
      <c r="I221" s="18"/>
      <c r="J221" s="18"/>
      <c r="K221" s="18"/>
      <c r="L221" s="18"/>
      <c r="M221" s="19"/>
      <c r="N221"/>
      <c r="O221"/>
      <c r="P221"/>
      <c r="Q221"/>
      <c r="R221"/>
      <c r="S221"/>
      <c r="T221"/>
    </row>
    <row r="222" spans="2:20" ht="15">
      <c r="B222" s="92" t="s">
        <v>557</v>
      </c>
      <c r="C222" s="20"/>
      <c r="D222" s="40"/>
      <c r="E222" s="18"/>
      <c r="F222" s="18"/>
      <c r="G222" s="18"/>
      <c r="H222" s="18"/>
      <c r="I222" s="18"/>
      <c r="J222" s="18"/>
      <c r="K222" s="18"/>
      <c r="L222" s="18"/>
      <c r="M222" s="19"/>
      <c r="N222"/>
      <c r="O222"/>
      <c r="P222"/>
      <c r="Q222"/>
      <c r="R222"/>
      <c r="S222"/>
      <c r="T222"/>
    </row>
    <row r="223" spans="2:20" ht="15" thickBot="1">
      <c r="B223" s="93" t="s">
        <v>558</v>
      </c>
      <c r="C223" s="25"/>
      <c r="D223" s="57" t="s">
        <v>696</v>
      </c>
      <c r="E223" s="26"/>
      <c r="F223" s="26"/>
      <c r="G223" s="26"/>
      <c r="H223" s="26"/>
      <c r="I223" s="26"/>
      <c r="J223" s="26"/>
      <c r="K223" s="15"/>
      <c r="L223" s="13"/>
      <c r="M223" s="19"/>
      <c r="N223"/>
      <c r="O223"/>
      <c r="P223"/>
      <c r="Q223"/>
      <c r="R223"/>
      <c r="S223"/>
      <c r="T223"/>
    </row>
    <row r="224" spans="2:20" ht="15">
      <c r="B224" s="92">
        <f>+B211+1</f>
        <v>137</v>
      </c>
      <c r="C224" s="20"/>
      <c r="D224" s="26" t="s">
        <v>605</v>
      </c>
      <c r="E224" s="143" t="str">
        <f>"(ln "&amp;B61&amp;")"</f>
        <v>(ln 20)</v>
      </c>
      <c r="F224" s="71"/>
      <c r="H224" s="72"/>
      <c r="I224" s="72"/>
      <c r="J224" s="72"/>
      <c r="K224" s="72"/>
      <c r="L224" s="129">
        <f>+G61</f>
        <v>0</v>
      </c>
      <c r="M224" s="19"/>
      <c r="N224"/>
      <c r="O224"/>
      <c r="P224"/>
      <c r="Q224"/>
      <c r="R224"/>
      <c r="S224"/>
      <c r="T224"/>
    </row>
    <row r="225" spans="2:20" ht="15">
      <c r="B225" s="92">
        <f>+B224+1</f>
        <v>138</v>
      </c>
      <c r="C225" s="20"/>
      <c r="D225" s="26" t="s">
        <v>78</v>
      </c>
      <c r="E225" s="73"/>
      <c r="F225" s="73"/>
      <c r="G225" s="74"/>
      <c r="H225" s="73"/>
      <c r="I225" s="73"/>
      <c r="J225" s="73"/>
      <c r="K225" s="73"/>
      <c r="L225" s="122">
        <f>'Historic TCOS'!L225</f>
        <v>0</v>
      </c>
      <c r="M225" s="19"/>
      <c r="N225"/>
      <c r="O225"/>
      <c r="P225"/>
      <c r="Q225"/>
      <c r="R225"/>
      <c r="S225"/>
      <c r="T225"/>
    </row>
    <row r="226" spans="2:20" ht="15" thickBot="1">
      <c r="B226" s="92">
        <f>+B225+1</f>
        <v>139</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123">
        <f>+'WS A  - RB Support '!E63</f>
        <v>0</v>
      </c>
      <c r="M226" s="19"/>
      <c r="N226"/>
      <c r="O226"/>
      <c r="P226"/>
      <c r="Q226"/>
      <c r="R226"/>
      <c r="S226"/>
      <c r="T226"/>
    </row>
    <row r="227" spans="2:20" ht="15">
      <c r="B227" s="92">
        <f>+B226+1</f>
        <v>140</v>
      </c>
      <c r="C227" s="20"/>
      <c r="D227" s="26" t="s">
        <v>697</v>
      </c>
      <c r="E227" s="124" t="str">
        <f>"(ln "&amp;B224&amp;" - ln "&amp;B225&amp;" - ln "&amp;B226&amp;")"</f>
        <v>(ln 137 - ln 138 - ln 139)</v>
      </c>
      <c r="F227" s="71"/>
      <c r="H227" s="72"/>
      <c r="I227" s="72"/>
      <c r="J227" s="41"/>
      <c r="K227" s="72"/>
      <c r="L227" s="129">
        <f>L224-L225-L226</f>
        <v>0</v>
      </c>
      <c r="M227" s="19"/>
      <c r="N227"/>
      <c r="O227"/>
      <c r="P227"/>
      <c r="Q227"/>
      <c r="R227"/>
      <c r="S227"/>
      <c r="T227"/>
    </row>
    <row r="228" spans="2:20" ht="15">
      <c r="B228" s="92"/>
      <c r="C228" s="20"/>
      <c r="D228" s="15"/>
      <c r="E228" s="71"/>
      <c r="F228" s="71"/>
      <c r="G228" s="41"/>
      <c r="H228" s="72"/>
      <c r="I228" s="72"/>
      <c r="J228" s="41"/>
      <c r="K228" s="72"/>
      <c r="L228" s="73"/>
      <c r="M228" s="19"/>
      <c r="N228"/>
      <c r="O228"/>
      <c r="P228"/>
      <c r="Q228"/>
      <c r="R228"/>
      <c r="S228"/>
      <c r="T228"/>
    </row>
    <row r="229" spans="2:20" ht="15">
      <c r="B229" s="92">
        <f>+B227+1</f>
        <v>141</v>
      </c>
      <c r="C229" s="20"/>
      <c r="D229" s="26" t="s">
        <v>698</v>
      </c>
      <c r="E229" s="76" t="str">
        <f>"(ln "&amp;B227&amp;" / ln "&amp;B224&amp;")"</f>
        <v>(ln 140 / ln 137)</v>
      </c>
      <c r="F229" s="75"/>
      <c r="H229" s="77"/>
      <c r="I229" s="78"/>
      <c r="J229" s="78"/>
      <c r="K229" s="1070" t="s">
        <v>582</v>
      </c>
      <c r="L229" s="79">
        <f>IF(L224=0,1,L227/L224)</f>
        <v>1</v>
      </c>
      <c r="M229" s="19"/>
      <c r="N229"/>
      <c r="O229"/>
      <c r="P229"/>
      <c r="Q229"/>
      <c r="R229"/>
      <c r="S229"/>
      <c r="T229"/>
    </row>
    <row r="230" spans="2:20" ht="15">
      <c r="B230" s="92"/>
      <c r="C230" s="20"/>
      <c r="D230" s="70"/>
      <c r="E230" s="26"/>
      <c r="F230" s="26"/>
      <c r="G230" s="142"/>
      <c r="H230" s="26"/>
      <c r="I230" s="80"/>
      <c r="J230" s="26"/>
      <c r="K230" s="26"/>
      <c r="L230" s="18"/>
      <c r="M230" s="19"/>
      <c r="N230"/>
      <c r="O230"/>
      <c r="P230"/>
      <c r="Q230"/>
      <c r="R230"/>
      <c r="S230"/>
      <c r="T230"/>
    </row>
    <row r="231" spans="2:20" ht="30">
      <c r="B231" s="96">
        <f>B229+1</f>
        <v>142</v>
      </c>
      <c r="C231" s="80"/>
      <c r="D231" s="57" t="s">
        <v>510</v>
      </c>
      <c r="E231" s="49" t="s">
        <v>973</v>
      </c>
      <c r="F231" s="49" t="s">
        <v>643</v>
      </c>
      <c r="G231" s="209" t="s">
        <v>689</v>
      </c>
      <c r="H231" s="204" t="s">
        <v>559</v>
      </c>
      <c r="I231" s="32"/>
      <c r="J231" s="19"/>
      <c r="K231" s="19"/>
      <c r="L231" s="19"/>
      <c r="M231" s="19"/>
      <c r="N231"/>
      <c r="O231"/>
      <c r="P231"/>
      <c r="Q231"/>
      <c r="R231"/>
      <c r="S231"/>
      <c r="T231"/>
    </row>
    <row r="232" spans="2:20" ht="15">
      <c r="B232" s="96">
        <f aca="true" t="shared" si="15" ref="B232:B237">+B231+1</f>
        <v>143</v>
      </c>
      <c r="C232" s="80"/>
      <c r="D232" s="1019" t="s">
        <v>877</v>
      </c>
      <c r="E232" s="29"/>
      <c r="F232" s="29"/>
      <c r="G232" s="122"/>
      <c r="H232" s="122"/>
      <c r="I232" s="49"/>
      <c r="J232" s="50"/>
      <c r="K232" s="29"/>
      <c r="L232" s="122"/>
      <c r="M232" s="19"/>
      <c r="N232"/>
      <c r="O232"/>
      <c r="P232"/>
      <c r="Q232"/>
      <c r="R232"/>
      <c r="S232"/>
      <c r="T232"/>
    </row>
    <row r="233" spans="2:20" ht="15">
      <c r="B233" s="96">
        <f t="shared" si="15"/>
        <v>144</v>
      </c>
      <c r="C233" s="80"/>
      <c r="D233" s="61" t="s">
        <v>568</v>
      </c>
      <c r="E233" s="29" t="s">
        <v>466</v>
      </c>
      <c r="F233" s="107">
        <f>+'Historic TCOS'!F233</f>
        <v>0</v>
      </c>
      <c r="G233" s="29">
        <f>+'Historic TCOS'!G233</f>
        <v>5503</v>
      </c>
      <c r="H233" s="205">
        <f>+F233+G233</f>
        <v>5503</v>
      </c>
      <c r="I233" s="80" t="s">
        <v>561</v>
      </c>
      <c r="J233" s="50">
        <f>VLOOKUP(I233,APCo_Proj_Allocators,2,FALSE)</f>
        <v>1</v>
      </c>
      <c r="K233" s="82"/>
      <c r="L233" s="107">
        <f>(F233+G233)*J233</f>
        <v>5503</v>
      </c>
      <c r="M233" s="19"/>
      <c r="N233"/>
      <c r="O233"/>
      <c r="P233"/>
      <c r="Q233"/>
      <c r="R233"/>
      <c r="S233"/>
      <c r="T233"/>
    </row>
    <row r="234" spans="2:20" ht="15">
      <c r="B234" s="96">
        <f t="shared" si="15"/>
        <v>145</v>
      </c>
      <c r="C234" s="80"/>
      <c r="D234" s="61" t="s">
        <v>745</v>
      </c>
      <c r="E234" s="19" t="s">
        <v>186</v>
      </c>
      <c r="F234" s="107">
        <f>+'Historic TCOS'!F234</f>
        <v>0</v>
      </c>
      <c r="G234" s="107">
        <f>+'Historic TCOS'!G234</f>
        <v>0</v>
      </c>
      <c r="H234" s="107">
        <f>+F234+G234</f>
        <v>0</v>
      </c>
      <c r="I234" s="32" t="s">
        <v>567</v>
      </c>
      <c r="J234" s="50">
        <f>VLOOKUP(I234,APCo_Proj_Allocators,2,FALSE)</f>
        <v>0</v>
      </c>
      <c r="K234" s="82"/>
      <c r="L234" s="107">
        <f>(F234+G234)*J234</f>
        <v>0</v>
      </c>
      <c r="M234" s="19"/>
      <c r="N234"/>
      <c r="O234"/>
      <c r="P234"/>
      <c r="Q234"/>
      <c r="R234"/>
      <c r="S234"/>
      <c r="T234"/>
    </row>
    <row r="235" spans="2:20" ht="15">
      <c r="B235" s="96">
        <f t="shared" si="15"/>
        <v>146</v>
      </c>
      <c r="C235" s="80"/>
      <c r="D235" s="1019" t="s">
        <v>877</v>
      </c>
      <c r="E235" s="29"/>
      <c r="F235" s="122"/>
      <c r="G235" s="122"/>
      <c r="H235" s="122"/>
      <c r="I235" s="49"/>
      <c r="J235" s="50"/>
      <c r="K235" s="29"/>
      <c r="L235" s="122"/>
      <c r="M235" s="19"/>
      <c r="N235"/>
      <c r="O235"/>
      <c r="P235"/>
      <c r="Q235"/>
      <c r="R235"/>
      <c r="S235"/>
      <c r="T235"/>
    </row>
    <row r="236" spans="2:20" ht="15" thickBot="1">
      <c r="B236" s="96">
        <f t="shared" si="15"/>
        <v>147</v>
      </c>
      <c r="C236" s="80"/>
      <c r="D236" s="61" t="s">
        <v>661</v>
      </c>
      <c r="E236" s="19" t="s">
        <v>81</v>
      </c>
      <c r="F236" s="108">
        <f>+'Historic TCOS'!F236</f>
        <v>0</v>
      </c>
      <c r="G236" s="108">
        <f>+'Historic TCOS'!G236</f>
        <v>7</v>
      </c>
      <c r="H236" s="108">
        <f>+F236+G236</f>
        <v>7</v>
      </c>
      <c r="I236" s="32" t="s">
        <v>567</v>
      </c>
      <c r="J236" s="50">
        <f>VLOOKUP(I236,APCo_Proj_Allocators,2,FALSE)</f>
        <v>0</v>
      </c>
      <c r="K236" s="82"/>
      <c r="L236" s="108">
        <f>(F236+G236)*J236</f>
        <v>0</v>
      </c>
      <c r="M236" s="19"/>
      <c r="N236"/>
      <c r="O236"/>
      <c r="P236"/>
      <c r="Q236"/>
      <c r="R236"/>
      <c r="S236"/>
      <c r="T236"/>
    </row>
    <row r="237" spans="2:13" ht="15">
      <c r="B237" s="96">
        <f t="shared" si="15"/>
        <v>148</v>
      </c>
      <c r="C237" s="80"/>
      <c r="D237" s="61" t="s">
        <v>559</v>
      </c>
      <c r="E237" s="61" t="str">
        <f>"(sum lns "&amp;B233&amp;", "&amp;B234&amp;", &amp; "&amp;B236&amp;")"</f>
        <v>(sum lns 144, 145, &amp; 147)</v>
      </c>
      <c r="F237" s="107">
        <f>SUM(F232:F236)</f>
        <v>0</v>
      </c>
      <c r="G237" s="107">
        <f>SUM(G232:G236)</f>
        <v>5510</v>
      </c>
      <c r="H237" s="107">
        <f>SUM(H232:H236)</f>
        <v>5510</v>
      </c>
      <c r="I237" s="32"/>
      <c r="J237" s="19"/>
      <c r="K237" s="19"/>
      <c r="L237" s="107">
        <f>SUM(L232:L236)</f>
        <v>5503</v>
      </c>
      <c r="M237" s="35"/>
    </row>
    <row r="238" spans="2:13" ht="15">
      <c r="B238" s="96"/>
      <c r="C238" s="80"/>
      <c r="D238" s="61" t="s">
        <v>555</v>
      </c>
      <c r="E238" s="29" t="s">
        <v>555</v>
      </c>
      <c r="F238" s="29"/>
      <c r="G238" s="15"/>
      <c r="H238" s="29"/>
      <c r="I238" s="141"/>
      <c r="M238" s="13"/>
    </row>
    <row r="239" spans="2:13" ht="15">
      <c r="B239" s="92">
        <f>+B237+1</f>
        <v>149</v>
      </c>
      <c r="C239" s="20"/>
      <c r="D239" s="42" t="s">
        <v>513</v>
      </c>
      <c r="E239" s="29"/>
      <c r="F239" s="29"/>
      <c r="G239" s="29"/>
      <c r="H239" s="29"/>
      <c r="I239" s="141"/>
      <c r="K239" s="126" t="s">
        <v>514</v>
      </c>
      <c r="L239" s="127">
        <f>L237/(F237+G237)</f>
        <v>0.9987295825771325</v>
      </c>
      <c r="M239" s="13"/>
    </row>
    <row r="240" spans="2:13" ht="15">
      <c r="B240" s="92"/>
      <c r="C240" s="20"/>
      <c r="D240" s="42"/>
      <c r="E240" s="29"/>
      <c r="F240" s="29"/>
      <c r="G240" s="29"/>
      <c r="H240" s="29"/>
      <c r="I240" s="32"/>
      <c r="J240" s="19"/>
      <c r="K240" s="19"/>
      <c r="L240" s="19"/>
      <c r="M240" s="19"/>
    </row>
    <row r="241" spans="2:13" ht="15">
      <c r="B241" s="92"/>
      <c r="C241" s="20"/>
      <c r="D241" s="1006" t="s">
        <v>200</v>
      </c>
      <c r="E241" s="1007"/>
      <c r="F241" s="29"/>
      <c r="G241" s="29"/>
      <c r="H241" s="29"/>
      <c r="I241" s="32"/>
      <c r="J241" s="19"/>
      <c r="K241" s="19"/>
      <c r="L241" s="19"/>
      <c r="M241" s="19"/>
    </row>
    <row r="242" spans="2:13" ht="15" thickBot="1">
      <c r="B242" s="92">
        <f>B239+1</f>
        <v>150</v>
      </c>
      <c r="C242" s="20"/>
      <c r="D242" s="61" t="s">
        <v>658</v>
      </c>
      <c r="E242" s="29"/>
      <c r="F242" s="29"/>
      <c r="G242" s="29"/>
      <c r="H242" s="29"/>
      <c r="I242" s="29"/>
      <c r="J242" s="29"/>
      <c r="K242" s="29"/>
      <c r="L242" s="211" t="s">
        <v>583</v>
      </c>
      <c r="M242" s="19"/>
    </row>
    <row r="243" spans="2:13" ht="15">
      <c r="B243" s="92">
        <f>B242+1</f>
        <v>151</v>
      </c>
      <c r="C243" s="20"/>
      <c r="D243" s="29" t="s">
        <v>694</v>
      </c>
      <c r="E243" s="16" t="str">
        <f>"(Worksheet L, ln. "&amp;'WS L Cost of Debt'!A51&amp;", col. "&amp;'WS L Cost of Debt'!E8&amp;")"</f>
        <v>(Worksheet L, ln. 34, col. (D))</v>
      </c>
      <c r="F243" s="29"/>
      <c r="G243" s="29"/>
      <c r="H243" s="29"/>
      <c r="I243" s="29"/>
      <c r="J243" s="291" t="s">
        <v>198</v>
      </c>
      <c r="K243" s="1003"/>
      <c r="L243" s="1004">
        <f>'WS L Cost of Debt'!E51</f>
        <v>162107</v>
      </c>
      <c r="M243" s="19"/>
    </row>
    <row r="244" spans="2:13" ht="15">
      <c r="B244" s="92">
        <f aca="true" t="shared" si="16" ref="B244:B250">B243+1</f>
        <v>152</v>
      </c>
      <c r="C244" s="20"/>
      <c r="D244" s="29" t="s">
        <v>695</v>
      </c>
      <c r="E244" s="16" t="str">
        <f>"(Worksheet L, ln. "&amp;'WS L Cost of Debt'!A63&amp;", col. "&amp;'WS L Cost of Debt'!E8&amp;")"</f>
        <v>(Worksheet L, ln. 44, col. (D))</v>
      </c>
      <c r="F244" s="29"/>
      <c r="G244" s="29"/>
      <c r="H244" s="29"/>
      <c r="I244" s="29"/>
      <c r="J244" s="29"/>
      <c r="K244" s="29"/>
      <c r="L244" s="122">
        <f>'WS L Cost of Debt'!E63</f>
        <v>0</v>
      </c>
      <c r="M244" s="19"/>
    </row>
    <row r="245" spans="2:13" ht="15">
      <c r="B245" s="92">
        <f t="shared" si="16"/>
        <v>153</v>
      </c>
      <c r="C245" s="20"/>
      <c r="D245" s="290" t="s">
        <v>837</v>
      </c>
      <c r="E245" s="29"/>
      <c r="F245" s="29"/>
      <c r="G245" s="29"/>
      <c r="H245" s="101"/>
      <c r="I245" s="29"/>
      <c r="J245" s="29"/>
      <c r="K245" s="29"/>
      <c r="L245" s="122"/>
      <c r="M245" s="19"/>
    </row>
    <row r="246" spans="2:13" ht="15">
      <c r="B246" s="92">
        <f t="shared" si="16"/>
        <v>154</v>
      </c>
      <c r="C246" s="20"/>
      <c r="D246" s="29" t="s">
        <v>838</v>
      </c>
      <c r="E246" s="16" t="s">
        <v>99</v>
      </c>
      <c r="F246" s="29"/>
      <c r="G246" s="26"/>
      <c r="H246" s="101"/>
      <c r="I246" s="29"/>
      <c r="J246" s="29"/>
      <c r="K246" s="29"/>
      <c r="L246" s="122">
        <f>'Historic TCOS'!L246</f>
        <v>6360215</v>
      </c>
      <c r="M246" s="19"/>
    </row>
    <row r="247" spans="2:13" ht="15">
      <c r="B247" s="92">
        <f t="shared" si="16"/>
        <v>155</v>
      </c>
      <c r="C247" s="20"/>
      <c r="D247" s="29" t="s">
        <v>1018</v>
      </c>
      <c r="E247" s="16" t="s">
        <v>100</v>
      </c>
      <c r="F247" s="29"/>
      <c r="G247" s="29"/>
      <c r="H247" s="101"/>
      <c r="I247" s="29"/>
      <c r="J247" s="29"/>
      <c r="K247" s="29"/>
      <c r="L247" s="122">
        <f>'Historic TCOS'!L247</f>
        <v>0</v>
      </c>
      <c r="M247" s="19"/>
    </row>
    <row r="248" spans="2:13" ht="15">
      <c r="B248" s="92">
        <f t="shared" si="16"/>
        <v>156</v>
      </c>
      <c r="C248" s="20"/>
      <c r="D248" s="29" t="s">
        <v>1010</v>
      </c>
      <c r="E248" s="16" t="s">
        <v>101</v>
      </c>
      <c r="F248" s="29"/>
      <c r="G248" s="29"/>
      <c r="H248" s="101"/>
      <c r="I248" s="29"/>
      <c r="J248" s="29"/>
      <c r="K248" s="29"/>
      <c r="L248" s="122">
        <f>'Historic TCOS'!L248</f>
        <v>0</v>
      </c>
      <c r="M248" s="19"/>
    </row>
    <row r="249" spans="2:13" ht="15" thickBot="1">
      <c r="B249" s="92">
        <f t="shared" si="16"/>
        <v>157</v>
      </c>
      <c r="C249" s="20"/>
      <c r="D249" s="29" t="s">
        <v>1016</v>
      </c>
      <c r="E249" s="16" t="s">
        <v>102</v>
      </c>
      <c r="F249" s="29"/>
      <c r="G249" s="29"/>
      <c r="H249" s="101"/>
      <c r="I249" s="29"/>
      <c r="J249" s="29"/>
      <c r="K249" s="29"/>
      <c r="L249" s="123">
        <f>'Historic TCOS'!L249</f>
        <v>0</v>
      </c>
      <c r="M249" s="19"/>
    </row>
    <row r="250" spans="2:13" ht="15">
      <c r="B250" s="92">
        <f t="shared" si="16"/>
        <v>158</v>
      </c>
      <c r="C250" s="20"/>
      <c r="D250" s="16" t="s">
        <v>839</v>
      </c>
      <c r="E250" s="29" t="str">
        <f>"(ln "&amp;B246&amp;" - ln "&amp;B247&amp;" - ln "&amp;B248&amp;" - ln "&amp;B249&amp;")"</f>
        <v>(ln 154 - ln 155 - ln 156 - ln 157)</v>
      </c>
      <c r="F250" s="256"/>
      <c r="G250" s="59"/>
      <c r="H250" s="26"/>
      <c r="I250" s="26"/>
      <c r="J250" s="26"/>
      <c r="K250" s="26"/>
      <c r="L250" s="122">
        <f>L246-L247-L248-L249</f>
        <v>6360215</v>
      </c>
      <c r="M250" s="19"/>
    </row>
    <row r="251" spans="2:13" ht="15">
      <c r="B251" s="92"/>
      <c r="C251" s="20"/>
      <c r="D251" s="61"/>
      <c r="E251" s="29"/>
      <c r="F251" s="29"/>
      <c r="G251" s="1185" t="s">
        <v>219</v>
      </c>
      <c r="H251" s="1185"/>
      <c r="I251" s="29"/>
      <c r="J251" s="141" t="s">
        <v>584</v>
      </c>
      <c r="K251" s="29"/>
      <c r="L251" s="29"/>
      <c r="M251" s="19"/>
    </row>
    <row r="252" spans="2:13" ht="15" thickBot="1">
      <c r="B252" s="92"/>
      <c r="C252" s="20"/>
      <c r="D252" s="61"/>
      <c r="E252" s="257" t="s">
        <v>583</v>
      </c>
      <c r="F252" s="29"/>
      <c r="G252" s="257" t="s">
        <v>217</v>
      </c>
      <c r="H252" s="257" t="s">
        <v>218</v>
      </c>
      <c r="I252" s="29"/>
      <c r="J252" s="1074" t="s">
        <v>1033</v>
      </c>
      <c r="K252" s="29"/>
      <c r="L252" s="257" t="s">
        <v>586</v>
      </c>
      <c r="M252" s="19"/>
    </row>
    <row r="253" spans="2:13" ht="15">
      <c r="B253" s="92">
        <f>B250+1</f>
        <v>159</v>
      </c>
      <c r="C253" s="20"/>
      <c r="D253" s="61" t="str">
        <f>"  Long Term Debt   Worksheet L, ln "&amp;'WS L Cost of Debt'!A51&amp;", col. "&amp;'WS L Cost of Debt'!C8&amp;")"</f>
        <v>  Long Term Debt   Worksheet L, ln 34, col. (B))</v>
      </c>
      <c r="E253" s="1005">
        <f>'WS L Cost of Debt'!C51</f>
        <v>4000000</v>
      </c>
      <c r="F253" s="1003"/>
      <c r="G253" s="1071">
        <f>IF($E$256&gt;0,E253/$E$256,0)</f>
        <v>0.3860923735656065</v>
      </c>
      <c r="H253" s="1071">
        <f>IF(G255&gt;E258,1-H254-H255,0)</f>
        <v>0.5</v>
      </c>
      <c r="I253" s="811"/>
      <c r="J253" s="810">
        <f>IF(E253=0,0,L243/E253)</f>
        <v>0.04052675</v>
      </c>
      <c r="K253" s="15"/>
      <c r="L253" s="812">
        <f>IF(G$253&gt;H$253,J253*G253,J253*H253)</f>
        <v>0.020263375</v>
      </c>
      <c r="M253" s="19"/>
    </row>
    <row r="254" spans="2:13" ht="15">
      <c r="B254" s="92">
        <f>B253+1</f>
        <v>160</v>
      </c>
      <c r="C254" s="20"/>
      <c r="D254" s="61" t="str">
        <f>"  Preferred Stock (ln "&amp;B247&amp;")"</f>
        <v>  Preferred Stock (ln 155)</v>
      </c>
      <c r="E254" s="122">
        <f>L247</f>
        <v>0</v>
      </c>
      <c r="F254" s="15"/>
      <c r="G254" s="1071">
        <f>IF($E$256&gt;0,E254/$E$256,0)</f>
        <v>0</v>
      </c>
      <c r="H254" s="1071">
        <f>IF(G255&gt;E258,G254,0)</f>
        <v>0</v>
      </c>
      <c r="I254" s="811"/>
      <c r="J254" s="810">
        <f>IF(E254=0,0,L244/E254)</f>
        <v>0</v>
      </c>
      <c r="K254" s="15"/>
      <c r="L254" s="813">
        <f>IF(G$253&gt;H$253,J254*G254,J254*H254)</f>
        <v>0</v>
      </c>
      <c r="M254" s="19"/>
    </row>
    <row r="255" spans="2:13" ht="15" thickBot="1">
      <c r="B255" s="92">
        <f>B254+1</f>
        <v>161</v>
      </c>
      <c r="C255" s="20"/>
      <c r="D255" s="61" t="str">
        <f>"  Common Stock (ln "&amp;B250&amp;")"</f>
        <v>  Common Stock (ln 158)</v>
      </c>
      <c r="E255" s="123">
        <f>L250</f>
        <v>6360215</v>
      </c>
      <c r="F255" s="15"/>
      <c r="G255" s="1072">
        <f>IF($E$256&gt;0,E255/$E$256,0)</f>
        <v>0.6139076264343934</v>
      </c>
      <c r="H255" s="1072">
        <f>IF(G255&gt;E258,E258,0)</f>
        <v>0.5</v>
      </c>
      <c r="I255" s="811"/>
      <c r="J255" s="300">
        <f>'Historic TCOS'!J272</f>
        <v>0.1149</v>
      </c>
      <c r="K255" s="15"/>
      <c r="L255" s="814">
        <f>IF(G$253&gt;H$253,J255*G255,J255*H255)</f>
        <v>0.05745</v>
      </c>
      <c r="M255" s="19"/>
    </row>
    <row r="256" spans="2:13" ht="15">
      <c r="B256" s="92">
        <f>B255+1</f>
        <v>162</v>
      </c>
      <c r="C256" s="20"/>
      <c r="D256" s="61" t="str">
        <f>" Total (Sum lns "&amp;B253&amp;" to "&amp;B255&amp;")"</f>
        <v> Total (Sum lns 159 to 161)</v>
      </c>
      <c r="E256" s="122">
        <f>SUM(E253:E255)</f>
        <v>10360215</v>
      </c>
      <c r="F256" s="15"/>
      <c r="G256" s="1071">
        <f>SUM(G253:G255)</f>
        <v>1</v>
      </c>
      <c r="H256" s="1071">
        <f>SUM(H253:H255)</f>
        <v>1</v>
      </c>
      <c r="I256" s="29"/>
      <c r="J256" s="815"/>
      <c r="K256" s="258" t="s">
        <v>497</v>
      </c>
      <c r="L256" s="816">
        <f>SUM(L253:L255)</f>
        <v>0.077713375</v>
      </c>
      <c r="M256" s="19"/>
    </row>
    <row r="257" spans="2:13" ht="15">
      <c r="B257" s="92"/>
      <c r="C257" s="20"/>
      <c r="D257" s="42"/>
      <c r="E257" s="29"/>
      <c r="F257" s="29"/>
      <c r="G257" s="29"/>
      <c r="H257" s="29"/>
      <c r="I257" s="32"/>
      <c r="J257" s="19"/>
      <c r="K257" s="19"/>
      <c r="L257" s="19"/>
      <c r="M257" s="19"/>
    </row>
    <row r="258" spans="2:13" ht="15">
      <c r="B258" s="92">
        <f>B256+1</f>
        <v>163</v>
      </c>
      <c r="C258" s="20"/>
      <c r="D258" s="559" t="s">
        <v>668</v>
      </c>
      <c r="E258" s="1159">
        <v>0.5</v>
      </c>
      <c r="F258" s="15"/>
      <c r="G258" s="122"/>
      <c r="I258" s="29"/>
      <c r="J258" s="815"/>
      <c r="K258" s="258"/>
      <c r="L258" s="816"/>
      <c r="M258" s="19"/>
    </row>
    <row r="259" spans="2:13" ht="15">
      <c r="B259" s="92"/>
      <c r="C259" s="20"/>
      <c r="D259" s="559"/>
      <c r="E259" s="961"/>
      <c r="F259" s="15"/>
      <c r="G259" s="122"/>
      <c r="I259" s="29"/>
      <c r="J259" s="815"/>
      <c r="K259" s="258"/>
      <c r="L259" s="816"/>
      <c r="M259" s="19"/>
    </row>
    <row r="260" spans="2:13" ht="15">
      <c r="B260" s="92"/>
      <c r="C260" s="20"/>
      <c r="D260" s="951" t="s">
        <v>103</v>
      </c>
      <c r="E260" s="125"/>
      <c r="F260" s="19"/>
      <c r="G260" s="13"/>
      <c r="H260" s="19"/>
      <c r="I260" s="19"/>
      <c r="J260" s="19"/>
      <c r="K260" s="39"/>
      <c r="L260" s="81"/>
      <c r="M260" s="19"/>
    </row>
    <row r="261" spans="2:13" ht="15" thickBot="1">
      <c r="B261" s="96">
        <f>B258+1</f>
        <v>164</v>
      </c>
      <c r="C261" s="80"/>
      <c r="D261" s="61" t="s">
        <v>658</v>
      </c>
      <c r="E261" s="29"/>
      <c r="F261" s="29"/>
      <c r="G261" s="29"/>
      <c r="H261" s="29"/>
      <c r="I261" s="29"/>
      <c r="J261" s="29"/>
      <c r="K261" s="29"/>
      <c r="L261" s="211" t="s">
        <v>583</v>
      </c>
      <c r="M261" s="19"/>
    </row>
    <row r="262" spans="2:13" ht="15">
      <c r="B262" s="96">
        <f aca="true" t="shared" si="17" ref="B262:B275">+B261+1</f>
        <v>165</v>
      </c>
      <c r="C262" s="80"/>
      <c r="D262" s="29" t="s">
        <v>694</v>
      </c>
      <c r="E262" s="16" t="str">
        <f>"(Worksheet Q, ln. "&amp;'WS Q Cap Structure'!A23&amp;")"</f>
        <v>(Worksheet Q, ln. 14)</v>
      </c>
      <c r="F262" s="29"/>
      <c r="G262" s="29"/>
      <c r="H262" s="29"/>
      <c r="I262" s="29"/>
      <c r="J262" s="29"/>
      <c r="K262" s="29"/>
      <c r="L262" s="122">
        <f>'WS Q Cap Structure'!J23</f>
        <v>467649989</v>
      </c>
      <c r="M262" s="19"/>
    </row>
    <row r="263" spans="2:13" ht="15">
      <c r="B263" s="96">
        <f>+B262+1</f>
        <v>166</v>
      </c>
      <c r="C263" s="80"/>
      <c r="D263" s="29" t="s">
        <v>695</v>
      </c>
      <c r="E263" s="16" t="str">
        <f>"(Worksheet Q, ln. "&amp;'WS Q Cap Structure'!A51&amp;")"</f>
        <v>(Worksheet Q, ln. 36)</v>
      </c>
      <c r="F263" s="29"/>
      <c r="G263" s="29"/>
      <c r="H263" s="29"/>
      <c r="I263" s="29"/>
      <c r="J263" s="29"/>
      <c r="K263" s="29"/>
      <c r="L263" s="122">
        <f>'WS Q Cap Structure'!J51</f>
        <v>0</v>
      </c>
      <c r="M263" s="19"/>
    </row>
    <row r="264" spans="2:13" ht="15">
      <c r="B264" s="96">
        <f t="shared" si="17"/>
        <v>167</v>
      </c>
      <c r="C264" s="80"/>
      <c r="D264" s="290" t="s">
        <v>837</v>
      </c>
      <c r="E264" s="29"/>
      <c r="F264" s="29"/>
      <c r="G264" s="29"/>
      <c r="H264" s="101"/>
      <c r="I264" s="29"/>
      <c r="J264" s="29"/>
      <c r="K264" s="29"/>
      <c r="L264" s="122"/>
      <c r="M264" s="19"/>
    </row>
    <row r="265" spans="2:13" ht="15">
      <c r="B265" s="96">
        <f t="shared" si="17"/>
        <v>168</v>
      </c>
      <c r="C265" s="80"/>
      <c r="D265" s="29" t="s">
        <v>838</v>
      </c>
      <c r="E265" s="16" t="str">
        <f>"(Worksheet Q, ln. "&amp;'WS Q Cap Structure'!A54&amp;")"</f>
        <v>(Worksheet Q, ln. 37)</v>
      </c>
      <c r="F265" s="29"/>
      <c r="G265" s="26"/>
      <c r="H265" s="101"/>
      <c r="I265" s="29"/>
      <c r="J265" s="29"/>
      <c r="K265" s="29"/>
      <c r="L265" s="122">
        <f>'WS Q Cap Structure'!J54</f>
        <v>8094481064</v>
      </c>
      <c r="M265" s="19"/>
    </row>
    <row r="266" spans="2:13" ht="15">
      <c r="B266" s="96">
        <f t="shared" si="17"/>
        <v>169</v>
      </c>
      <c r="C266" s="80"/>
      <c r="D266" s="29" t="s">
        <v>1018</v>
      </c>
      <c r="E266" s="16" t="str">
        <f>"(Worksheet Q, ln. "&amp;'WS Q Cap Structure'!A55&amp;")"</f>
        <v>(Worksheet Q, ln. 38)</v>
      </c>
      <c r="F266" s="29"/>
      <c r="G266" s="29"/>
      <c r="H266" s="101"/>
      <c r="I266" s="29"/>
      <c r="J266" s="29"/>
      <c r="K266" s="29"/>
      <c r="L266" s="122">
        <f>'WS Q Cap Structure'!J55</f>
        <v>0</v>
      </c>
      <c r="M266" s="19"/>
    </row>
    <row r="267" spans="2:13" ht="15">
      <c r="B267" s="96">
        <f t="shared" si="17"/>
        <v>170</v>
      </c>
      <c r="C267" s="80"/>
      <c r="D267" s="29" t="s">
        <v>1010</v>
      </c>
      <c r="E267" s="16" t="str">
        <f>"(Worksheet Q, ln. "&amp;'WS Q Cap Structure'!A56&amp;")"</f>
        <v>(Worksheet Q, ln. 39)</v>
      </c>
      <c r="F267" s="29"/>
      <c r="G267" s="29"/>
      <c r="H267" s="101"/>
      <c r="I267" s="29"/>
      <c r="J267" s="29"/>
      <c r="K267" s="29"/>
      <c r="L267" s="122">
        <f>'WS Q Cap Structure'!J56</f>
        <v>6532329</v>
      </c>
      <c r="M267" s="19"/>
    </row>
    <row r="268" spans="2:13" ht="15" thickBot="1">
      <c r="B268" s="96">
        <f t="shared" si="17"/>
        <v>171</v>
      </c>
      <c r="C268" s="80"/>
      <c r="D268" s="29" t="s">
        <v>1016</v>
      </c>
      <c r="E268" s="16" t="str">
        <f>"(Worksheet Q, ln. "&amp;'WS Q Cap Structure'!A57&amp;")"</f>
        <v>(Worksheet Q, ln. 40)</v>
      </c>
      <c r="F268" s="29"/>
      <c r="G268" s="29"/>
      <c r="H268" s="101"/>
      <c r="I268" s="29"/>
      <c r="J268" s="29"/>
      <c r="K268" s="29"/>
      <c r="L268" s="123">
        <f>'WS Q Cap Structure'!J57</f>
        <v>-10289353</v>
      </c>
      <c r="M268" s="19"/>
    </row>
    <row r="269" spans="2:13" ht="15">
      <c r="B269" s="96">
        <f t="shared" si="17"/>
        <v>172</v>
      </c>
      <c r="C269" s="80"/>
      <c r="D269" s="16" t="s">
        <v>839</v>
      </c>
      <c r="E269" s="29" t="str">
        <f>"(ln "&amp;B265&amp;" - ln "&amp;B266&amp;" - ln "&amp;B267&amp;" - ln "&amp;B268&amp;")"</f>
        <v>(ln 168 - ln 169 - ln 170 - ln 171)</v>
      </c>
      <c r="F269" s="256"/>
      <c r="G269" s="59"/>
      <c r="H269" s="26"/>
      <c r="I269" s="26"/>
      <c r="J269" s="26"/>
      <c r="K269" s="26"/>
      <c r="L269" s="122">
        <f>+L265-L266-L267-L268</f>
        <v>8098238088</v>
      </c>
      <c r="M269" s="19"/>
    </row>
    <row r="270" spans="2:13" ht="15">
      <c r="B270" s="96"/>
      <c r="C270" s="80"/>
      <c r="D270" s="61"/>
      <c r="E270" s="29"/>
      <c r="F270" s="29"/>
      <c r="G270" s="1174"/>
      <c r="H270" s="1174"/>
      <c r="I270" s="29"/>
      <c r="K270" s="29"/>
      <c r="L270" s="29"/>
      <c r="M270" s="19"/>
    </row>
    <row r="271" spans="2:18" ht="15" thickBot="1">
      <c r="B271" s="96">
        <f>+B269+1</f>
        <v>173</v>
      </c>
      <c r="C271" s="80"/>
      <c r="D271" s="61"/>
      <c r="G271" s="257" t="s">
        <v>585</v>
      </c>
      <c r="H271" s="257" t="s">
        <v>583</v>
      </c>
      <c r="I271" s="29"/>
      <c r="J271" s="809" t="s">
        <v>584</v>
      </c>
      <c r="K271" s="29"/>
      <c r="L271" s="257" t="s">
        <v>586</v>
      </c>
      <c r="M271" s="19"/>
      <c r="N271" s="33"/>
      <c r="O271" s="33"/>
      <c r="P271" s="33"/>
      <c r="Q271" s="33"/>
      <c r="R271" s="33"/>
    </row>
    <row r="272" spans="2:18" ht="15">
      <c r="B272" s="96">
        <f t="shared" si="17"/>
        <v>174</v>
      </c>
      <c r="C272" s="80"/>
      <c r="D272" s="61" t="str">
        <f>"  Long Term Debt   (Worksheet Q, ln "&amp;'WS Q Cap Structure'!A72&amp;")"</f>
        <v>  Long Term Debt   (Worksheet Q, ln 50)</v>
      </c>
      <c r="G272" s="810">
        <f>'WS Q Cap Structure'!J72</f>
        <v>0.5124542119171184</v>
      </c>
      <c r="H272" s="122">
        <f>$H$275*G272</f>
        <v>8511972247</v>
      </c>
      <c r="I272" s="811"/>
      <c r="J272" s="1071">
        <f>+L262/H272</f>
        <v>0.0549402624244717</v>
      </c>
      <c r="K272" s="15"/>
      <c r="L272" s="812">
        <f>+G272*J272</f>
        <v>0.028154368883252314</v>
      </c>
      <c r="M272" s="83"/>
      <c r="N272" s="33"/>
      <c r="O272" s="33"/>
      <c r="P272" s="33"/>
      <c r="Q272" s="33"/>
      <c r="R272" s="33"/>
    </row>
    <row r="273" spans="2:13" ht="15">
      <c r="B273" s="96">
        <f t="shared" si="17"/>
        <v>175</v>
      </c>
      <c r="C273" s="80"/>
      <c r="D273" s="61" t="str">
        <f>"  Preferred Stock (Worksheet Q, ln "&amp;'WS Q Cap Structure'!A73&amp;")"</f>
        <v>  Preferred Stock (Worksheet Q, ln 51)</v>
      </c>
      <c r="G273" s="810">
        <f>'WS Q Cap Structure'!J73</f>
        <v>0</v>
      </c>
      <c r="H273" s="122">
        <f>$H$275*G273</f>
        <v>0</v>
      </c>
      <c r="I273" s="811"/>
      <c r="J273" s="810">
        <f>IF(L263=0,0,+L263/H273)</f>
        <v>0</v>
      </c>
      <c r="K273" s="15"/>
      <c r="L273" s="813">
        <f>+G273*J273</f>
        <v>0</v>
      </c>
      <c r="M273" s="19"/>
    </row>
    <row r="274" spans="2:13" ht="15" thickBot="1">
      <c r="B274" s="96">
        <f t="shared" si="17"/>
        <v>176</v>
      </c>
      <c r="C274" s="80"/>
      <c r="D274" s="61" t="str">
        <f>"  Common Stock (Worksheet Q, ln "&amp;'WS Q Cap Structure'!A74&amp;")"</f>
        <v>  Common Stock (Worksheet Q, ln 52)</v>
      </c>
      <c r="G274" s="922">
        <f>'WS Q Cap Structure'!J74</f>
        <v>0.4875457880828816</v>
      </c>
      <c r="H274" s="123">
        <f>$H$275*G274</f>
        <v>8098238088</v>
      </c>
      <c r="I274" s="811"/>
      <c r="J274" s="300">
        <f>+'Historic TCOS'!J272</f>
        <v>0.1149</v>
      </c>
      <c r="K274" s="15"/>
      <c r="L274" s="814">
        <f>+G274*J274</f>
        <v>0.0560190110507231</v>
      </c>
      <c r="M274" s="19"/>
    </row>
    <row r="275" spans="2:13" ht="15">
      <c r="B275" s="96">
        <f t="shared" si="17"/>
        <v>177</v>
      </c>
      <c r="C275" s="80"/>
      <c r="D275" s="61" t="str">
        <f>" Total (Worksheet Q, ln "&amp;'WS Q Cap Structure'!A64&amp;")"</f>
        <v> Total (Worksheet Q, ln 45)</v>
      </c>
      <c r="H275" s="122">
        <f>'WS Q Cap Structure'!J64</f>
        <v>16610210335</v>
      </c>
      <c r="I275" s="29"/>
      <c r="J275" s="815"/>
      <c r="K275" s="258" t="s">
        <v>497</v>
      </c>
      <c r="L275" s="816">
        <f>SUM(L272:L274)</f>
        <v>0.08417337993397542</v>
      </c>
      <c r="M275" s="84"/>
    </row>
    <row r="276" spans="2:18" ht="15">
      <c r="B276" s="95"/>
      <c r="C276" s="707"/>
      <c r="D276" s="102"/>
      <c r="E276" s="101"/>
      <c r="F276" s="101"/>
      <c r="H276" s="101"/>
      <c r="I276" s="101"/>
      <c r="J276" s="139"/>
      <c r="K276" s="139"/>
      <c r="L276" s="817"/>
      <c r="M276" s="7"/>
      <c r="N276" s="86"/>
      <c r="O276" s="86"/>
      <c r="P276" s="86"/>
      <c r="Q276" s="86"/>
      <c r="R276" s="86"/>
    </row>
    <row r="277" spans="2:18" ht="15">
      <c r="B277" s="92"/>
      <c r="C277" s="707"/>
      <c r="D277" s="102"/>
      <c r="E277" s="102"/>
      <c r="F277" s="102"/>
      <c r="G277" s="102"/>
      <c r="H277" s="102"/>
      <c r="I277" s="102"/>
      <c r="J277" s="700"/>
      <c r="K277" s="18"/>
      <c r="L277" s="19"/>
      <c r="M277" s="18"/>
      <c r="N277" s="86"/>
      <c r="O277" s="86"/>
      <c r="P277" s="86"/>
      <c r="Q277" s="86"/>
      <c r="R277" s="86"/>
    </row>
    <row r="278" spans="2:18" ht="15">
      <c r="B278" s="92"/>
      <c r="C278" s="20"/>
      <c r="D278" s="66"/>
      <c r="E278" s="66"/>
      <c r="F278" s="23" t="str">
        <f>F214</f>
        <v>AEPTCo subsidiaries in PJM</v>
      </c>
      <c r="G278" s="67"/>
      <c r="H278" s="19"/>
      <c r="I278" s="19"/>
      <c r="J278" s="700"/>
      <c r="K278" s="18"/>
      <c r="L278" s="43"/>
      <c r="M278" s="145"/>
      <c r="N278" s="86"/>
      <c r="O278" s="86"/>
      <c r="P278" s="86"/>
      <c r="Q278" s="86"/>
      <c r="R278" s="86"/>
    </row>
    <row r="279" spans="2:18" ht="15">
      <c r="B279" s="92"/>
      <c r="C279" s="20"/>
      <c r="D279" s="68"/>
      <c r="E279" s="20"/>
      <c r="F279" s="23" t="str">
        <f>F215</f>
        <v>Transmission Cost of Service Formula Rate</v>
      </c>
      <c r="G279" s="19"/>
      <c r="H279" s="19"/>
      <c r="I279" s="19"/>
      <c r="J279" s="64"/>
      <c r="K279" s="18"/>
      <c r="L279" s="780"/>
      <c r="M279" s="130"/>
      <c r="N279" s="86"/>
      <c r="O279" s="86"/>
      <c r="P279" s="86"/>
      <c r="Q279" s="86"/>
      <c r="R279" s="86"/>
    </row>
    <row r="280" spans="2:18" ht="15">
      <c r="B280" s="92"/>
      <c r="C280" s="20"/>
      <c r="D280" s="68"/>
      <c r="E280" s="38"/>
      <c r="F280" s="23" t="str">
        <f>F216</f>
        <v>Utilizing  Historic Cost Data for 2014 and Projected Net Plant at Year-End 2015</v>
      </c>
      <c r="G280" s="19"/>
      <c r="H280" s="19"/>
      <c r="I280" s="19"/>
      <c r="J280" s="19"/>
      <c r="K280" s="18"/>
      <c r="L280" s="648"/>
      <c r="M280" s="145"/>
      <c r="N280" s="86"/>
      <c r="O280" s="86"/>
      <c r="P280" s="86"/>
      <c r="Q280" s="86"/>
      <c r="R280" s="86"/>
    </row>
    <row r="281" spans="2:18" ht="15">
      <c r="B281" s="92"/>
      <c r="C281" s="20"/>
      <c r="D281" s="68"/>
      <c r="E281" s="38"/>
      <c r="F281" s="23"/>
      <c r="G281" s="19"/>
      <c r="H281" s="19"/>
      <c r="I281" s="19"/>
      <c r="J281" s="19"/>
      <c r="K281" s="18"/>
      <c r="L281" s="818"/>
      <c r="M281" s="15"/>
      <c r="N281" s="86"/>
      <c r="O281" s="86"/>
      <c r="P281" s="86"/>
      <c r="Q281" s="86"/>
      <c r="R281" s="86"/>
    </row>
    <row r="282" spans="2:18" ht="15">
      <c r="B282" s="92"/>
      <c r="C282" s="20"/>
      <c r="D282" s="68"/>
      <c r="E282" s="38"/>
      <c r="F282" s="23" t="str">
        <f>F218</f>
        <v>AEP KENTUCKY TRANSMISSION COMPANY</v>
      </c>
      <c r="G282" s="19"/>
      <c r="H282" s="19"/>
      <c r="I282" s="19"/>
      <c r="J282" s="19"/>
      <c r="K282" s="18"/>
      <c r="L282" s="648"/>
      <c r="M282" s="15"/>
      <c r="N282" s="86"/>
      <c r="O282" s="86"/>
      <c r="P282" s="86"/>
      <c r="Q282" s="86"/>
      <c r="R282" s="86"/>
    </row>
    <row r="283" spans="2:18" ht="15">
      <c r="B283" s="92"/>
      <c r="C283" s="20"/>
      <c r="D283" s="68"/>
      <c r="E283" s="38"/>
      <c r="F283" s="23"/>
      <c r="G283" s="19"/>
      <c r="H283" s="19"/>
      <c r="I283" s="19"/>
      <c r="J283" s="19"/>
      <c r="K283" s="18"/>
      <c r="L283" s="69"/>
      <c r="M283" s="15"/>
      <c r="N283" s="86"/>
      <c r="O283" s="86"/>
      <c r="P283" s="86"/>
      <c r="Q283" s="86"/>
      <c r="R283" s="86"/>
    </row>
    <row r="284" spans="2:18" ht="15">
      <c r="B284" s="199" t="s">
        <v>615</v>
      </c>
      <c r="C284" s="25"/>
      <c r="D284" s="57"/>
      <c r="E284" s="26"/>
      <c r="F284" s="199" t="s">
        <v>614</v>
      </c>
      <c r="G284" s="29"/>
      <c r="H284" s="29"/>
      <c r="I284" s="29"/>
      <c r="J284" s="29"/>
      <c r="K284" s="26"/>
      <c r="L284" s="29"/>
      <c r="M284" s="15"/>
      <c r="N284" s="86"/>
      <c r="O284" s="86"/>
      <c r="P284" s="86"/>
      <c r="Q284" s="86"/>
      <c r="R284" s="86"/>
    </row>
    <row r="285" spans="3:18" ht="15">
      <c r="C285" s="25"/>
      <c r="L285" s="69"/>
      <c r="M285" s="15"/>
      <c r="N285" s="86"/>
      <c r="O285" s="86"/>
      <c r="P285" s="86"/>
      <c r="Q285" s="86"/>
      <c r="R285" s="86"/>
    </row>
    <row r="286" spans="2:18" ht="15">
      <c r="B286" s="92"/>
      <c r="C286" s="20"/>
      <c r="D286" s="17" t="s">
        <v>367</v>
      </c>
      <c r="E286" s="80"/>
      <c r="F286" s="80"/>
      <c r="G286" s="29"/>
      <c r="H286" s="29"/>
      <c r="I286" s="29"/>
      <c r="J286" s="29"/>
      <c r="K286" s="26"/>
      <c r="L286" s="29"/>
      <c r="M286" s="26"/>
      <c r="N286" s="86"/>
      <c r="O286" s="86"/>
      <c r="P286" s="86"/>
      <c r="Q286" s="86"/>
      <c r="R286" s="86"/>
    </row>
    <row r="287" spans="2:18" ht="15">
      <c r="B287" s="16"/>
      <c r="D287" s="57"/>
      <c r="E287" s="26"/>
      <c r="F287" s="26"/>
      <c r="G287" s="29"/>
      <c r="H287" s="29"/>
      <c r="I287" s="29"/>
      <c r="J287" s="29"/>
      <c r="K287" s="26"/>
      <c r="L287" s="29"/>
      <c r="M287" s="26"/>
      <c r="N287" s="86"/>
      <c r="O287" s="86"/>
      <c r="P287" s="86"/>
      <c r="Q287" s="86"/>
      <c r="R287" s="86"/>
    </row>
    <row r="288" spans="2:18" ht="15">
      <c r="B288" s="16"/>
      <c r="D288" s="57"/>
      <c r="E288" s="26"/>
      <c r="F288" s="26"/>
      <c r="G288" s="29"/>
      <c r="H288" s="29"/>
      <c r="I288" s="29"/>
      <c r="J288" s="29"/>
      <c r="K288" s="26"/>
      <c r="L288" s="29"/>
      <c r="M288" s="26"/>
      <c r="N288" s="86"/>
      <c r="O288" s="86"/>
      <c r="P288" s="86"/>
      <c r="Q288" s="86"/>
      <c r="R288" s="86"/>
    </row>
    <row r="289" spans="2:18" ht="15">
      <c r="B289" s="98" t="s">
        <v>587</v>
      </c>
      <c r="C289" s="25"/>
      <c r="D289" s="57" t="s">
        <v>246</v>
      </c>
      <c r="E289" s="26"/>
      <c r="F289" s="26"/>
      <c r="G289" s="29"/>
      <c r="H289" s="29"/>
      <c r="I289" s="29"/>
      <c r="J289" s="29"/>
      <c r="K289" s="26"/>
      <c r="L289" s="29"/>
      <c r="M289" s="26"/>
      <c r="N289" s="86"/>
      <c r="O289" s="86"/>
      <c r="P289" s="86"/>
      <c r="Q289" s="86"/>
      <c r="R289" s="86"/>
    </row>
    <row r="290" spans="2:18" ht="15">
      <c r="B290" s="98"/>
      <c r="C290" s="85"/>
      <c r="D290" s="57" t="s">
        <v>1019</v>
      </c>
      <c r="E290" s="26"/>
      <c r="F290" s="26"/>
      <c r="G290" s="26"/>
      <c r="H290" s="26"/>
      <c r="I290" s="26"/>
      <c r="J290" s="26"/>
      <c r="K290" s="26"/>
      <c r="L290" s="26"/>
      <c r="M290" s="26"/>
      <c r="N290" s="86"/>
      <c r="O290" s="86"/>
      <c r="P290" s="86"/>
      <c r="Q290" s="86"/>
      <c r="R290" s="86"/>
    </row>
    <row r="291" spans="2:18" ht="15">
      <c r="B291" s="99"/>
      <c r="C291" s="15"/>
      <c r="D291" s="16" t="s">
        <v>1020</v>
      </c>
      <c r="E291" s="90"/>
      <c r="F291" s="90"/>
      <c r="G291" s="26"/>
      <c r="H291" s="26"/>
      <c r="I291" s="26"/>
      <c r="J291" s="26"/>
      <c r="K291" s="26"/>
      <c r="L291" s="26"/>
      <c r="M291" s="26"/>
      <c r="N291" s="86"/>
      <c r="O291" s="86"/>
      <c r="P291" s="86"/>
      <c r="Q291" s="86"/>
      <c r="R291" s="86"/>
    </row>
    <row r="292" spans="2:18" ht="15">
      <c r="B292" s="99"/>
      <c r="C292" s="15"/>
      <c r="D292" s="57" t="s">
        <v>257</v>
      </c>
      <c r="E292" s="26"/>
      <c r="F292" s="26"/>
      <c r="G292" s="26"/>
      <c r="H292" s="26"/>
      <c r="I292" s="26"/>
      <c r="J292" s="26"/>
      <c r="K292" s="26"/>
      <c r="L292" s="26"/>
      <c r="M292" s="26"/>
      <c r="N292" s="86"/>
      <c r="O292" s="86"/>
      <c r="P292" s="86"/>
      <c r="Q292" s="86"/>
      <c r="R292" s="86"/>
    </row>
    <row r="293" spans="2:18" ht="15">
      <c r="B293" s="96"/>
      <c r="C293" s="80"/>
      <c r="D293" s="57" t="s">
        <v>258</v>
      </c>
      <c r="E293" s="26"/>
      <c r="F293" s="26"/>
      <c r="G293" s="26"/>
      <c r="H293" s="26"/>
      <c r="I293" s="26"/>
      <c r="J293" s="26"/>
      <c r="K293" s="26"/>
      <c r="L293" s="26"/>
      <c r="M293" s="26"/>
      <c r="N293" s="86"/>
      <c r="O293" s="86"/>
      <c r="P293" s="86"/>
      <c r="Q293" s="86"/>
      <c r="R293" s="86"/>
    </row>
    <row r="294" spans="2:18" ht="15">
      <c r="B294" s="96"/>
      <c r="C294" s="80"/>
      <c r="D294" s="57" t="s">
        <v>1021</v>
      </c>
      <c r="E294" s="26"/>
      <c r="F294" s="26"/>
      <c r="G294" s="26"/>
      <c r="H294" s="26"/>
      <c r="I294" s="26"/>
      <c r="J294" s="26"/>
      <c r="K294" s="26"/>
      <c r="L294" s="26"/>
      <c r="M294" s="26"/>
      <c r="N294" s="86"/>
      <c r="O294" s="86"/>
      <c r="P294" s="86"/>
      <c r="Q294" s="86"/>
      <c r="R294" s="86"/>
    </row>
    <row r="295" spans="2:18" ht="15">
      <c r="B295" s="96"/>
      <c r="C295" s="80"/>
      <c r="D295" s="57" t="s">
        <v>1022</v>
      </c>
      <c r="E295" s="26"/>
      <c r="F295" s="26"/>
      <c r="G295" s="26"/>
      <c r="H295" s="26"/>
      <c r="I295" s="26"/>
      <c r="J295" s="26"/>
      <c r="K295" s="26"/>
      <c r="L295" s="26"/>
      <c r="M295" s="26"/>
      <c r="N295" s="86"/>
      <c r="O295" s="86"/>
      <c r="P295" s="86"/>
      <c r="Q295" s="86"/>
      <c r="R295" s="86"/>
    </row>
    <row r="296" spans="2:18" ht="15">
      <c r="B296" s="96"/>
      <c r="C296" s="80"/>
      <c r="D296" s="57" t="s">
        <v>266</v>
      </c>
      <c r="E296" s="26"/>
      <c r="F296" s="26"/>
      <c r="G296" s="26"/>
      <c r="H296" s="26"/>
      <c r="I296" s="26"/>
      <c r="J296" s="26"/>
      <c r="K296" s="26"/>
      <c r="L296" s="26"/>
      <c r="M296" s="26"/>
      <c r="N296" s="86"/>
      <c r="O296" s="86"/>
      <c r="P296" s="86"/>
      <c r="Q296" s="86"/>
      <c r="R296" s="86"/>
    </row>
    <row r="297" spans="2:18" ht="15">
      <c r="B297" s="96"/>
      <c r="C297" s="80"/>
      <c r="D297" s="139"/>
      <c r="E297" s="26"/>
      <c r="F297" s="26"/>
      <c r="G297" s="26"/>
      <c r="H297" s="26"/>
      <c r="I297" s="26"/>
      <c r="J297" s="26"/>
      <c r="K297" s="26"/>
      <c r="L297" s="57"/>
      <c r="M297" s="26"/>
      <c r="N297" s="86"/>
      <c r="O297" s="86"/>
      <c r="P297" s="86"/>
      <c r="Q297" s="86"/>
      <c r="R297" s="86"/>
    </row>
    <row r="298" spans="2:18" ht="15" customHeight="1">
      <c r="B298" s="96" t="s">
        <v>588</v>
      </c>
      <c r="C298" s="80"/>
      <c r="D298" s="1183" t="s">
        <v>68</v>
      </c>
      <c r="E298" s="1184"/>
      <c r="F298" s="1184"/>
      <c r="G298" s="1184"/>
      <c r="H298" s="1184"/>
      <c r="I298" s="1184"/>
      <c r="J298" s="1184"/>
      <c r="K298" s="1184"/>
      <c r="L298" s="57"/>
      <c r="M298" s="26"/>
      <c r="N298" s="86"/>
      <c r="O298" s="86"/>
      <c r="P298" s="86"/>
      <c r="Q298" s="86"/>
      <c r="R298" s="86"/>
    </row>
    <row r="299" spans="2:18" ht="15">
      <c r="B299" s="96"/>
      <c r="C299" s="80"/>
      <c r="D299" s="1184"/>
      <c r="E299" s="1184"/>
      <c r="F299" s="1184"/>
      <c r="G299" s="1184"/>
      <c r="H299" s="1184"/>
      <c r="I299" s="1184"/>
      <c r="J299" s="1184"/>
      <c r="K299" s="1184"/>
      <c r="L299" s="57"/>
      <c r="M299" s="26"/>
      <c r="N299" s="86"/>
      <c r="O299" s="86"/>
      <c r="P299" s="86"/>
      <c r="Q299" s="86"/>
      <c r="R299" s="86"/>
    </row>
    <row r="300" spans="5:18" ht="15">
      <c r="E300" s="26"/>
      <c r="F300" s="26"/>
      <c r="G300" s="26"/>
      <c r="H300" s="26"/>
      <c r="I300" s="26"/>
      <c r="J300" s="26"/>
      <c r="K300" s="26"/>
      <c r="L300" s="26"/>
      <c r="M300" s="26"/>
      <c r="N300" s="86"/>
      <c r="O300" s="86"/>
      <c r="P300" s="86"/>
      <c r="Q300" s="86"/>
      <c r="R300" s="86"/>
    </row>
    <row r="301" spans="2:18" ht="15">
      <c r="B301" s="96" t="s">
        <v>589</v>
      </c>
      <c r="C301" s="80"/>
      <c r="D301" s="7" t="str">
        <f>"Transmission Plant balances in this study are projected as of December 31, "&amp;'Historic TCOS'!O2&amp;". Other ratebase amounts are as of December 31, "&amp;'Historic TCOS'!O1&amp;"."</f>
        <v>Transmission Plant balances in this study are projected as of December 31, 2015. Other ratebase amounts are as of December 31, 2014.</v>
      </c>
      <c r="E301" s="26"/>
      <c r="F301" s="26"/>
      <c r="G301" s="26"/>
      <c r="H301" s="26"/>
      <c r="I301" s="26"/>
      <c r="J301" s="26"/>
      <c r="K301" s="26"/>
      <c r="L301" s="26"/>
      <c r="M301" s="26"/>
      <c r="N301" s="86"/>
      <c r="O301" s="86"/>
      <c r="P301" s="86"/>
      <c r="Q301" s="86"/>
      <c r="R301" s="86"/>
    </row>
    <row r="302" spans="2:18" ht="15">
      <c r="B302" s="96"/>
      <c r="C302" s="80"/>
      <c r="D302" s="7"/>
      <c r="E302" s="26"/>
      <c r="F302" s="26"/>
      <c r="G302" s="26"/>
      <c r="H302" s="26"/>
      <c r="I302" s="26"/>
      <c r="J302" s="26"/>
      <c r="K302" s="26"/>
      <c r="L302" s="26"/>
      <c r="M302" s="26"/>
      <c r="N302" s="86"/>
      <c r="O302" s="86"/>
      <c r="P302" s="86"/>
      <c r="Q302" s="86"/>
      <c r="R302" s="86"/>
    </row>
    <row r="303" spans="2:18" ht="15">
      <c r="B303" s="96" t="s">
        <v>590</v>
      </c>
      <c r="C303" s="80"/>
      <c r="D303" s="57" t="s">
        <v>840</v>
      </c>
      <c r="E303" s="26"/>
      <c r="F303" s="26"/>
      <c r="G303" s="26"/>
      <c r="H303" s="26"/>
      <c r="I303" s="26"/>
      <c r="J303" s="26"/>
      <c r="K303" s="26"/>
      <c r="L303" s="26"/>
      <c r="M303" s="26"/>
      <c r="N303" s="57"/>
      <c r="O303" s="86"/>
      <c r="P303" s="86"/>
      <c r="Q303" s="86"/>
      <c r="R303" s="86"/>
    </row>
    <row r="304" spans="2:18" ht="15">
      <c r="B304" s="96"/>
      <c r="C304" s="80"/>
      <c r="D304" s="57" t="s">
        <v>275</v>
      </c>
      <c r="E304" s="26"/>
      <c r="F304" s="26"/>
      <c r="G304" s="26"/>
      <c r="H304" s="26"/>
      <c r="I304" s="26"/>
      <c r="J304" s="26"/>
      <c r="K304" s="26"/>
      <c r="L304" s="26"/>
      <c r="M304" s="26"/>
      <c r="N304" s="57"/>
      <c r="O304" s="86"/>
      <c r="P304" s="86"/>
      <c r="Q304" s="86"/>
      <c r="R304" s="86"/>
    </row>
    <row r="305" spans="2:18" ht="15">
      <c r="B305" s="96"/>
      <c r="C305" s="80"/>
      <c r="D305" s="57" t="s">
        <v>285</v>
      </c>
      <c r="E305" s="26"/>
      <c r="F305" s="26"/>
      <c r="G305" s="26"/>
      <c r="H305" s="26"/>
      <c r="I305" s="26"/>
      <c r="J305" s="26"/>
      <c r="K305" s="26"/>
      <c r="L305" s="26"/>
      <c r="M305" s="26"/>
      <c r="N305" s="57"/>
      <c r="O305" s="86"/>
      <c r="P305" s="86"/>
      <c r="Q305" s="86"/>
      <c r="R305" s="86"/>
    </row>
    <row r="306" spans="2:18" ht="15">
      <c r="B306" s="96"/>
      <c r="C306" s="80"/>
      <c r="D306" s="57" t="s">
        <v>1008</v>
      </c>
      <c r="E306" s="26"/>
      <c r="F306" s="26"/>
      <c r="G306" s="26"/>
      <c r="H306" s="26"/>
      <c r="I306" s="26"/>
      <c r="J306" s="26"/>
      <c r="K306" s="26"/>
      <c r="L306" s="26"/>
      <c r="M306" s="26"/>
      <c r="N306" s="86"/>
      <c r="O306" s="86"/>
      <c r="P306" s="86"/>
      <c r="Q306" s="86"/>
      <c r="R306" s="86"/>
    </row>
    <row r="307" spans="2:18" ht="15">
      <c r="B307" s="96"/>
      <c r="C307" s="80"/>
      <c r="D307" s="57" t="s">
        <v>928</v>
      </c>
      <c r="E307" s="26"/>
      <c r="F307" s="26"/>
      <c r="G307" s="26"/>
      <c r="H307" s="26"/>
      <c r="I307" s="26"/>
      <c r="J307" s="26"/>
      <c r="K307" s="26"/>
      <c r="L307" s="26"/>
      <c r="M307" s="26"/>
      <c r="N307" s="86"/>
      <c r="O307" s="86"/>
      <c r="P307" s="86"/>
      <c r="Q307" s="86"/>
      <c r="R307" s="86"/>
    </row>
    <row r="308" spans="2:18" ht="15">
      <c r="B308" s="96"/>
      <c r="C308" s="80"/>
      <c r="D308" s="57"/>
      <c r="E308" s="26"/>
      <c r="F308" s="26"/>
      <c r="G308" s="26"/>
      <c r="H308" s="26"/>
      <c r="I308" s="26"/>
      <c r="J308" s="26"/>
      <c r="K308" s="26"/>
      <c r="L308" s="26"/>
      <c r="M308" s="26"/>
      <c r="N308" s="86"/>
      <c r="O308" s="86"/>
      <c r="P308" s="86"/>
      <c r="Q308" s="86"/>
      <c r="R308" s="86"/>
    </row>
    <row r="309" spans="2:18" ht="15">
      <c r="B309" s="96" t="s">
        <v>591</v>
      </c>
      <c r="C309" s="80"/>
      <c r="D309"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309" s="693"/>
      <c r="F309" s="693"/>
      <c r="G309" s="693"/>
      <c r="H309" s="693"/>
      <c r="I309" s="693"/>
      <c r="J309" s="693"/>
      <c r="K309" s="693"/>
      <c r="L309" s="800"/>
      <c r="M309" s="26"/>
      <c r="N309" s="86"/>
      <c r="O309" s="86"/>
      <c r="P309" s="86"/>
      <c r="Q309" s="86"/>
      <c r="R309" s="86"/>
    </row>
    <row r="310" spans="2:18" ht="15">
      <c r="B310" s="96"/>
      <c r="C310" s="80"/>
      <c r="D310" s="1032"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310" s="708"/>
      <c r="F310" s="708"/>
      <c r="G310" s="708"/>
      <c r="H310" s="708"/>
      <c r="I310" s="708"/>
      <c r="J310" s="708"/>
      <c r="K310" s="708"/>
      <c r="L310" s="800"/>
      <c r="M310" s="26"/>
      <c r="N310" s="86"/>
      <c r="O310" s="86"/>
      <c r="P310" s="86"/>
      <c r="Q310" s="86"/>
      <c r="R310" s="86"/>
    </row>
    <row r="311" spans="2:18" ht="15">
      <c r="B311" s="96"/>
      <c r="C311" s="80"/>
      <c r="D311" s="1033" t="str">
        <f>+"2)  AEP transmission equalization transfers, as shown on line "&amp;B150&amp;""</f>
        <v>2)  AEP transmission equalization transfers, as shown on line 86</v>
      </c>
      <c r="E311" s="693"/>
      <c r="F311" s="693"/>
      <c r="G311" s="693"/>
      <c r="H311" s="693"/>
      <c r="I311" s="693"/>
      <c r="J311" s="693"/>
      <c r="K311" s="693"/>
      <c r="L311" s="800"/>
      <c r="M311" s="26"/>
      <c r="N311" s="86"/>
      <c r="O311" s="86"/>
      <c r="P311" s="86"/>
      <c r="Q311" s="86"/>
      <c r="R311" s="86"/>
    </row>
    <row r="312" spans="2:18" ht="15">
      <c r="B312" s="96"/>
      <c r="C312" s="80"/>
      <c r="D312" s="1032" t="str">
        <f>+"3)  The impact of state regulatory deferrals and amortizations, as shown on line  "&amp;B151&amp;""</f>
        <v>3)  The impact of state regulatory deferrals and amortizations, as shown on line  87</v>
      </c>
      <c r="E312" s="708"/>
      <c r="F312" s="708"/>
      <c r="G312" s="708"/>
      <c r="H312" s="708"/>
      <c r="I312" s="708"/>
      <c r="J312" s="708"/>
      <c r="K312" s="708"/>
      <c r="L312" s="800"/>
      <c r="M312" s="26"/>
      <c r="N312" s="86"/>
      <c r="O312" s="86"/>
      <c r="P312" s="86"/>
      <c r="Q312" s="86"/>
      <c r="R312" s="86"/>
    </row>
    <row r="313" spans="2:18" ht="15">
      <c r="B313" s="96"/>
      <c r="C313" s="80"/>
      <c r="D313" s="1033" t="str">
        <f>"4) All A&amp;G Expenses, as shown on line "&amp;B165&amp;"."</f>
        <v>4) All A&amp;G Expenses, as shown on line 100.</v>
      </c>
      <c r="E313" s="693"/>
      <c r="F313" s="693"/>
      <c r="G313" s="693"/>
      <c r="H313" s="693"/>
      <c r="I313" s="693"/>
      <c r="J313" s="693"/>
      <c r="K313" s="693"/>
      <c r="L313" s="800"/>
      <c r="M313" s="26"/>
      <c r="N313" s="86"/>
      <c r="O313" s="86"/>
      <c r="P313" s="86"/>
      <c r="Q313" s="86"/>
      <c r="R313" s="86"/>
    </row>
    <row r="314" spans="2:18" ht="15">
      <c r="B314" s="96"/>
      <c r="C314" s="80"/>
      <c r="D314" s="1032"/>
      <c r="E314" s="708"/>
      <c r="F314" s="708"/>
      <c r="G314" s="708"/>
      <c r="H314" s="708"/>
      <c r="I314" s="708"/>
      <c r="J314" s="708"/>
      <c r="K314" s="708"/>
      <c r="L314" s="800"/>
      <c r="M314" s="26"/>
      <c r="N314" s="86"/>
      <c r="O314" s="86"/>
      <c r="P314" s="86"/>
      <c r="Q314" s="86"/>
      <c r="R314" s="86"/>
    </row>
    <row r="315" spans="2:18" ht="15">
      <c r="B315" s="98" t="s">
        <v>592</v>
      </c>
      <c r="C315" s="85"/>
      <c r="D315" s="1034"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315" s="1034"/>
      <c r="F315" s="1034"/>
      <c r="G315" s="1034"/>
      <c r="H315" s="1034"/>
      <c r="I315" s="1034"/>
      <c r="J315" s="1034"/>
      <c r="K315" s="1034"/>
      <c r="L315" s="15"/>
      <c r="M315" s="26"/>
      <c r="N315" s="86"/>
      <c r="O315" s="86"/>
      <c r="P315" s="86"/>
      <c r="Q315" s="86"/>
      <c r="R315" s="86"/>
    </row>
    <row r="316" spans="2:18" ht="15">
      <c r="B316" s="99"/>
      <c r="C316" s="15"/>
      <c r="D316" s="1034" t="s">
        <v>693</v>
      </c>
      <c r="E316" s="1034"/>
      <c r="F316" s="1034"/>
      <c r="G316" s="1034"/>
      <c r="H316" s="1034"/>
      <c r="I316" s="1034"/>
      <c r="J316" s="1034"/>
      <c r="K316" s="1034"/>
      <c r="L316" s="15"/>
      <c r="M316" s="26"/>
      <c r="N316" s="86"/>
      <c r="O316" s="86"/>
      <c r="P316" s="86"/>
      <c r="Q316" s="86"/>
      <c r="R316" s="86"/>
    </row>
    <row r="317" spans="2:18" ht="15">
      <c r="B317" s="99"/>
      <c r="C317" s="15"/>
      <c r="D317" s="1034" t="str">
        <f>"expense is included on line "&amp;B205&amp;"."</f>
        <v>expense is included on line 133.</v>
      </c>
      <c r="E317" s="1034"/>
      <c r="F317" s="1034"/>
      <c r="G317" s="1034"/>
      <c r="H317" s="1034"/>
      <c r="I317" s="1034"/>
      <c r="J317" s="1034"/>
      <c r="K317" s="1034"/>
      <c r="L317" s="15"/>
      <c r="M317" s="26"/>
      <c r="N317" s="86"/>
      <c r="O317" s="86"/>
      <c r="P317" s="86"/>
      <c r="Q317" s="86"/>
      <c r="R317" s="86"/>
    </row>
    <row r="318" spans="2:18" ht="15">
      <c r="B318" s="99"/>
      <c r="C318" s="15"/>
      <c r="D318" s="1034"/>
      <c r="E318" s="1034"/>
      <c r="F318" s="1034"/>
      <c r="G318" s="1034"/>
      <c r="H318" s="1034"/>
      <c r="I318" s="1034"/>
      <c r="J318" s="1034"/>
      <c r="K318" s="1034"/>
      <c r="L318" s="15"/>
      <c r="M318" s="15"/>
      <c r="N318" s="86"/>
      <c r="O318" s="86"/>
      <c r="P318" s="86"/>
      <c r="Q318" s="86"/>
      <c r="R318" s="86"/>
    </row>
    <row r="319" spans="2:18" ht="15">
      <c r="B319" s="98" t="s">
        <v>593</v>
      </c>
      <c r="C319" s="15"/>
      <c r="D319" s="1179"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19" s="1179"/>
      <c r="F319" s="1179"/>
      <c r="G319" s="1179"/>
      <c r="H319" s="1179"/>
      <c r="I319" s="1179"/>
      <c r="J319" s="1179"/>
      <c r="K319" s="1179"/>
      <c r="L319" s="15"/>
      <c r="M319" s="15"/>
      <c r="N319" s="86"/>
      <c r="O319" s="86"/>
      <c r="P319" s="86"/>
      <c r="Q319" s="86"/>
      <c r="R319" s="86"/>
    </row>
    <row r="320" spans="2:18" ht="15">
      <c r="B320" s="98"/>
      <c r="C320" s="15"/>
      <c r="D320" s="1179"/>
      <c r="E320" s="1179"/>
      <c r="F320" s="1179"/>
      <c r="G320" s="1179"/>
      <c r="H320" s="1179"/>
      <c r="I320" s="1179"/>
      <c r="J320" s="1179"/>
      <c r="K320" s="1179"/>
      <c r="L320" s="15"/>
      <c r="M320" s="15"/>
      <c r="N320" s="86"/>
      <c r="O320" s="86"/>
      <c r="P320" s="86"/>
      <c r="Q320" s="86"/>
      <c r="R320" s="86"/>
    </row>
    <row r="321" spans="2:18" ht="15">
      <c r="B321" s="98"/>
      <c r="C321" s="15"/>
      <c r="D321" s="1179"/>
      <c r="E321" s="1179"/>
      <c r="F321" s="1179"/>
      <c r="G321" s="1179"/>
      <c r="H321" s="1179"/>
      <c r="I321" s="1179"/>
      <c r="J321" s="1179"/>
      <c r="K321" s="1179"/>
      <c r="L321" s="15"/>
      <c r="M321" s="15"/>
      <c r="N321" s="86"/>
      <c r="O321" s="86"/>
      <c r="P321" s="86"/>
      <c r="Q321" s="86"/>
      <c r="R321" s="86"/>
    </row>
    <row r="322" spans="2:18" ht="15">
      <c r="B322" s="98"/>
      <c r="C322" s="15"/>
      <c r="D322" s="1035"/>
      <c r="E322" s="1035"/>
      <c r="F322" s="1035"/>
      <c r="G322" s="1035"/>
      <c r="H322" s="1035"/>
      <c r="I322" s="1035"/>
      <c r="J322" s="1035"/>
      <c r="K322" s="1035"/>
      <c r="L322" s="15"/>
      <c r="M322" s="15"/>
      <c r="N322" s="86"/>
      <c r="O322" s="86"/>
      <c r="P322" s="86"/>
      <c r="Q322" s="86"/>
      <c r="R322" s="86"/>
    </row>
    <row r="323" spans="2:18" ht="15">
      <c r="B323" s="98" t="s">
        <v>594</v>
      </c>
      <c r="C323" s="15"/>
      <c r="D323" s="1175"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102 and 103 to determine the total O&amp;M collected in the formula.  The amounts on lines 102 and 103 are also excluded in the calculation of the FCR percentage calculated on lines 5 through 11.</v>
      </c>
      <c r="E323" s="1175"/>
      <c r="F323" s="1175"/>
      <c r="G323" s="1175"/>
      <c r="H323" s="1175"/>
      <c r="I323" s="1175"/>
      <c r="J323" s="1175"/>
      <c r="K323" s="1175"/>
      <c r="L323" s="15"/>
      <c r="M323" s="15"/>
      <c r="N323" s="86"/>
      <c r="O323" s="86"/>
      <c r="P323" s="86"/>
      <c r="Q323" s="86"/>
      <c r="R323" s="86"/>
    </row>
    <row r="324" spans="2:18" ht="15">
      <c r="B324" s="98"/>
      <c r="C324" s="15"/>
      <c r="D324" s="1175"/>
      <c r="E324" s="1175"/>
      <c r="F324" s="1175"/>
      <c r="G324" s="1175"/>
      <c r="H324" s="1175"/>
      <c r="I324" s="1175"/>
      <c r="J324" s="1175"/>
      <c r="K324" s="1175"/>
      <c r="L324" s="15"/>
      <c r="M324" s="15"/>
      <c r="N324" s="86"/>
      <c r="O324" s="86"/>
      <c r="P324" s="86"/>
      <c r="Q324" s="86"/>
      <c r="R324" s="86"/>
    </row>
    <row r="325" spans="2:18" ht="15">
      <c r="B325" s="98"/>
      <c r="C325" s="15"/>
      <c r="D325" s="1176"/>
      <c r="E325" s="1176"/>
      <c r="F325" s="1176"/>
      <c r="G325" s="1176"/>
      <c r="H325" s="1176"/>
      <c r="I325" s="1176"/>
      <c r="J325" s="1176"/>
      <c r="K325" s="1176"/>
      <c r="L325" s="15"/>
      <c r="M325" s="15"/>
      <c r="N325" s="86"/>
      <c r="O325" s="86"/>
      <c r="P325" s="86"/>
      <c r="Q325" s="86"/>
      <c r="R325" s="86"/>
    </row>
    <row r="326" spans="2:18" ht="15">
      <c r="B326" s="98"/>
      <c r="C326" s="15"/>
      <c r="D326" s="1178" t="str">
        <f>"The addbacks  on lines "&amp;B168&amp;" and "&amp;B169&amp;" of activity recorded in 565 represents inter-company sales or purchases of transmission capacity necessary to meet each AEP company's transmission load relative to their available transmission capacity."</f>
        <v>The addbacks  on lines 102 and 103 of activity recorded in 565 represents inter-company sales or purchases of transmission capacity necessary to meet each AEP company's transmission load relative to their available transmission capacity.</v>
      </c>
      <c r="E326" s="1178"/>
      <c r="F326" s="1178"/>
      <c r="G326" s="1178"/>
      <c r="H326" s="1178"/>
      <c r="I326" s="1178"/>
      <c r="J326" s="1178"/>
      <c r="K326" s="1036"/>
      <c r="L326" s="15"/>
      <c r="M326" s="15"/>
      <c r="N326" s="86"/>
      <c r="O326" s="86"/>
      <c r="P326" s="86"/>
      <c r="Q326" s="86"/>
      <c r="R326" s="86"/>
    </row>
    <row r="327" spans="2:18" ht="15">
      <c r="B327" s="98"/>
      <c r="C327" s="15"/>
      <c r="D327" s="1178"/>
      <c r="E327" s="1178"/>
      <c r="F327" s="1178"/>
      <c r="G327" s="1178"/>
      <c r="H327" s="1178"/>
      <c r="I327" s="1178"/>
      <c r="J327" s="1178"/>
      <c r="K327" s="1036"/>
      <c r="L327" s="15"/>
      <c r="M327" s="15"/>
      <c r="N327" s="86"/>
      <c r="O327" s="86"/>
      <c r="P327" s="86"/>
      <c r="Q327" s="86"/>
      <c r="R327" s="86"/>
    </row>
    <row r="328" spans="2:18" ht="15">
      <c r="B328" s="98"/>
      <c r="C328" s="15"/>
      <c r="D328" s="1034" t="str">
        <f>"The company records referenced on lines "&amp;B168&amp;" and "&amp;B169&amp;" is the "&amp;F7&amp;" general ledger."</f>
        <v>The company records referenced on lines 102 and 103 is the AEP KENTUCKY TRANSMISSION COMPANY general ledger.</v>
      </c>
      <c r="E328" s="1035"/>
      <c r="F328" s="1035"/>
      <c r="G328" s="1035"/>
      <c r="H328" s="1035"/>
      <c r="I328" s="1035"/>
      <c r="J328" s="1035"/>
      <c r="K328" s="1036"/>
      <c r="L328" s="15"/>
      <c r="M328" s="15"/>
      <c r="N328" s="86"/>
      <c r="O328" s="86"/>
      <c r="P328" s="86"/>
      <c r="Q328" s="86"/>
      <c r="R328" s="86"/>
    </row>
    <row r="329" spans="2:18" ht="15">
      <c r="B329" s="98"/>
      <c r="C329" s="15"/>
      <c r="D329" s="1036"/>
      <c r="E329" s="1036"/>
      <c r="F329" s="1036"/>
      <c r="G329" s="1036"/>
      <c r="H329" s="1036"/>
      <c r="I329" s="1036"/>
      <c r="J329" s="1036"/>
      <c r="K329" s="1036"/>
      <c r="L329" s="15"/>
      <c r="M329" s="15"/>
      <c r="N329" s="86"/>
      <c r="O329" s="86"/>
      <c r="P329" s="86"/>
      <c r="Q329" s="86"/>
      <c r="R329" s="86"/>
    </row>
    <row r="330" spans="1:18" ht="15">
      <c r="A330" s="740"/>
      <c r="B330" s="98" t="s">
        <v>595</v>
      </c>
      <c r="C330" s="15"/>
      <c r="D330" s="1034" t="s">
        <v>825</v>
      </c>
      <c r="E330" s="1036"/>
      <c r="F330" s="1036"/>
      <c r="G330" s="1036"/>
      <c r="H330" s="1036"/>
      <c r="I330" s="1036"/>
      <c r="J330" s="1036"/>
      <c r="K330" s="1036"/>
      <c r="L330" s="15"/>
      <c r="M330" s="15"/>
      <c r="N330" s="86"/>
      <c r="O330" s="86"/>
      <c r="P330" s="86"/>
      <c r="Q330" s="86"/>
      <c r="R330" s="86"/>
    </row>
    <row r="331" spans="2:18" ht="15">
      <c r="B331" s="98"/>
      <c r="C331" s="15"/>
      <c r="D331" s="1036"/>
      <c r="E331" s="1036"/>
      <c r="F331" s="1036"/>
      <c r="G331" s="1036"/>
      <c r="H331" s="1036"/>
      <c r="I331" s="1036"/>
      <c r="J331" s="1036"/>
      <c r="K331" s="1036"/>
      <c r="L331" s="15"/>
      <c r="M331" s="15"/>
      <c r="N331" s="86"/>
      <c r="O331" s="86"/>
      <c r="P331" s="86"/>
      <c r="Q331" s="86"/>
      <c r="R331" s="86"/>
    </row>
    <row r="332" spans="1:18" ht="15" customHeight="1">
      <c r="A332" s="740"/>
      <c r="B332" s="141" t="s">
        <v>596</v>
      </c>
      <c r="D332" s="1178" t="s">
        <v>820</v>
      </c>
      <c r="E332" s="1184"/>
      <c r="F332" s="1184"/>
      <c r="G332" s="1184"/>
      <c r="H332" s="1184"/>
      <c r="I332" s="1184"/>
      <c r="J332" s="1184"/>
      <c r="K332" s="1037"/>
      <c r="L332" s="15"/>
      <c r="M332" s="15"/>
      <c r="N332" s="86"/>
      <c r="O332" s="86"/>
      <c r="P332" s="86"/>
      <c r="Q332" s="86"/>
      <c r="R332" s="86"/>
    </row>
    <row r="333" spans="1:18" ht="15">
      <c r="A333" s="740"/>
      <c r="B333" s="141"/>
      <c r="D333" s="1190"/>
      <c r="E333" s="1190"/>
      <c r="F333" s="1190"/>
      <c r="G333" s="1190"/>
      <c r="H333" s="1190"/>
      <c r="I333" s="1190"/>
      <c r="J333" s="1190"/>
      <c r="K333" s="1038"/>
      <c r="L333" s="15"/>
      <c r="M333" s="15"/>
      <c r="N333" s="86"/>
      <c r="O333" s="86"/>
      <c r="P333" s="86"/>
      <c r="Q333" s="86"/>
      <c r="R333" s="86"/>
    </row>
    <row r="334" spans="1:18" ht="15">
      <c r="A334" s="740"/>
      <c r="B334" s="141"/>
      <c r="D334" s="1184"/>
      <c r="E334" s="1184"/>
      <c r="F334" s="1184"/>
      <c r="G334" s="1184"/>
      <c r="H334" s="1184"/>
      <c r="I334" s="1184"/>
      <c r="J334" s="1184"/>
      <c r="K334" s="1037"/>
      <c r="L334" s="15"/>
      <c r="M334" s="15"/>
      <c r="N334" s="86"/>
      <c r="O334" s="86"/>
      <c r="P334" s="86"/>
      <c r="Q334" s="86"/>
      <c r="R334" s="86"/>
    </row>
    <row r="335" spans="1:18" ht="15">
      <c r="A335" s="740"/>
      <c r="B335" s="141"/>
      <c r="D335" s="136"/>
      <c r="E335" s="136"/>
      <c r="F335" s="136"/>
      <c r="G335" s="136"/>
      <c r="H335" s="136"/>
      <c r="I335" s="136"/>
      <c r="J335" s="136"/>
      <c r="L335" s="15"/>
      <c r="M335" s="15"/>
      <c r="N335" s="86"/>
      <c r="O335" s="86"/>
      <c r="P335" s="86"/>
      <c r="Q335" s="86"/>
      <c r="R335" s="86"/>
    </row>
    <row r="336" spans="2:18" ht="15">
      <c r="B336" s="98" t="s">
        <v>597</v>
      </c>
      <c r="C336" s="15"/>
      <c r="D336" s="1188" t="s">
        <v>104</v>
      </c>
      <c r="E336" s="1189"/>
      <c r="F336" s="1189"/>
      <c r="G336" s="1189"/>
      <c r="H336" s="1189"/>
      <c r="I336" s="1189"/>
      <c r="J336" s="1189"/>
      <c r="K336" s="1189"/>
      <c r="L336" s="89"/>
      <c r="M336" s="15"/>
      <c r="N336" s="86"/>
      <c r="O336" s="86"/>
      <c r="P336" s="86"/>
      <c r="Q336" s="86"/>
      <c r="R336" s="86"/>
    </row>
    <row r="337" spans="2:18" ht="15">
      <c r="B337" s="98"/>
      <c r="C337" s="15"/>
      <c r="D337" s="89"/>
      <c r="E337" s="89"/>
      <c r="F337" s="89"/>
      <c r="G337" s="89"/>
      <c r="H337" s="89"/>
      <c r="I337" s="89"/>
      <c r="J337" s="89"/>
      <c r="K337" s="89"/>
      <c r="L337" s="89"/>
      <c r="M337" s="15"/>
      <c r="N337" s="86"/>
      <c r="O337" s="86"/>
      <c r="P337" s="86"/>
      <c r="Q337" s="86"/>
      <c r="R337" s="86"/>
    </row>
    <row r="338" spans="2:18" ht="15">
      <c r="B338" s="96" t="s">
        <v>598</v>
      </c>
      <c r="C338" s="80"/>
      <c r="D338" s="57" t="s">
        <v>1001</v>
      </c>
      <c r="E338" s="26"/>
      <c r="F338" s="26"/>
      <c r="G338" s="26"/>
      <c r="H338" s="26"/>
      <c r="I338" s="26"/>
      <c r="J338" s="26"/>
      <c r="K338" s="26"/>
      <c r="L338" s="26"/>
      <c r="M338" s="15"/>
      <c r="N338" s="86"/>
      <c r="O338" s="86"/>
      <c r="P338" s="86"/>
      <c r="Q338" s="86"/>
      <c r="R338" s="86"/>
    </row>
    <row r="339" spans="2:18" ht="15">
      <c r="B339" s="96"/>
      <c r="C339" s="80"/>
      <c r="D339" s="57" t="s">
        <v>261</v>
      </c>
      <c r="E339" s="26"/>
      <c r="F339" s="26"/>
      <c r="G339" s="26"/>
      <c r="H339" s="26"/>
      <c r="I339" s="26"/>
      <c r="J339" s="26"/>
      <c r="K339" s="26"/>
      <c r="L339" s="26"/>
      <c r="M339" s="15"/>
      <c r="N339" s="86"/>
      <c r="O339" s="86"/>
      <c r="P339" s="86"/>
      <c r="Q339" s="86"/>
      <c r="R339" s="86"/>
    </row>
    <row r="340" spans="2:18" ht="15">
      <c r="B340" s="96"/>
      <c r="C340" s="80"/>
      <c r="D340" s="57" t="s">
        <v>262</v>
      </c>
      <c r="E340" s="26"/>
      <c r="F340" s="26"/>
      <c r="G340" s="26"/>
      <c r="H340" s="26"/>
      <c r="I340" s="26"/>
      <c r="J340" s="26"/>
      <c r="K340" s="26"/>
      <c r="L340" s="26"/>
      <c r="M340" s="15"/>
      <c r="N340" s="86"/>
      <c r="O340" s="86"/>
      <c r="P340" s="86"/>
      <c r="Q340" s="86"/>
      <c r="R340" s="86"/>
    </row>
    <row r="341" spans="2:18" ht="15">
      <c r="B341" s="96"/>
      <c r="C341" s="80"/>
      <c r="D341" s="15" t="s">
        <v>263</v>
      </c>
      <c r="E341" s="26"/>
      <c r="F341" s="26"/>
      <c r="G341" s="26"/>
      <c r="H341" s="26"/>
      <c r="I341" s="26"/>
      <c r="J341" s="26"/>
      <c r="K341" s="26"/>
      <c r="L341" s="26"/>
      <c r="M341" s="15"/>
      <c r="N341" s="86"/>
      <c r="O341" s="86"/>
      <c r="P341" s="86"/>
      <c r="Q341" s="86"/>
      <c r="R341" s="86"/>
    </row>
    <row r="342" spans="2:18" ht="15">
      <c r="B342" s="96"/>
      <c r="C342" s="80"/>
      <c r="D342" s="15"/>
      <c r="E342" s="26"/>
      <c r="F342" s="26"/>
      <c r="G342" s="26"/>
      <c r="H342" s="26"/>
      <c r="I342" s="26"/>
      <c r="J342" s="26"/>
      <c r="K342" s="26"/>
      <c r="L342" s="26"/>
      <c r="M342" s="15"/>
      <c r="N342" s="86"/>
      <c r="O342" s="86"/>
      <c r="P342" s="86"/>
      <c r="Q342" s="86"/>
      <c r="R342" s="86"/>
    </row>
    <row r="343" spans="2:18" ht="15" customHeight="1">
      <c r="B343" s="96" t="s">
        <v>599</v>
      </c>
      <c r="C343" s="80"/>
      <c r="D343" s="1171" t="s">
        <v>179</v>
      </c>
      <c r="E343" s="1172"/>
      <c r="F343" s="1172"/>
      <c r="G343" s="1172"/>
      <c r="H343" s="1172"/>
      <c r="I343" s="1172"/>
      <c r="J343" s="1172"/>
      <c r="K343" s="1172"/>
      <c r="L343" s="1173"/>
      <c r="M343" s="15"/>
      <c r="N343" s="86"/>
      <c r="O343" s="86"/>
      <c r="P343" s="86"/>
      <c r="Q343" s="86"/>
      <c r="R343" s="86"/>
    </row>
    <row r="344" spans="2:18" ht="15">
      <c r="B344" s="96"/>
      <c r="C344" s="80"/>
      <c r="D344" s="1172"/>
      <c r="E344" s="1172"/>
      <c r="F344" s="1172"/>
      <c r="G344" s="1172"/>
      <c r="H344" s="1172"/>
      <c r="I344" s="1172"/>
      <c r="J344" s="1172"/>
      <c r="K344" s="1172"/>
      <c r="L344" s="1173"/>
      <c r="M344" s="15"/>
      <c r="N344" s="86"/>
      <c r="O344" s="86"/>
      <c r="P344" s="86"/>
      <c r="Q344" s="86"/>
      <c r="R344" s="86"/>
    </row>
    <row r="345" spans="2:18" ht="15">
      <c r="B345" s="96"/>
      <c r="C345" s="80"/>
      <c r="D345" s="1173"/>
      <c r="E345" s="1173"/>
      <c r="F345" s="1173"/>
      <c r="G345" s="1173"/>
      <c r="H345" s="1173"/>
      <c r="I345" s="1173"/>
      <c r="J345" s="1173"/>
      <c r="K345" s="1173"/>
      <c r="L345" s="1173"/>
      <c r="M345" s="15"/>
      <c r="N345" s="86"/>
      <c r="O345" s="86"/>
      <c r="P345" s="86"/>
      <c r="Q345" s="86"/>
      <c r="R345" s="86"/>
    </row>
    <row r="346" spans="2:18" ht="15">
      <c r="B346" s="96"/>
      <c r="C346" s="80"/>
      <c r="D346" s="697"/>
      <c r="E346" s="697"/>
      <c r="F346" s="697"/>
      <c r="G346" s="697"/>
      <c r="H346" s="697"/>
      <c r="I346" s="697"/>
      <c r="J346" s="697"/>
      <c r="K346" s="697"/>
      <c r="L346" s="26"/>
      <c r="M346" s="15"/>
      <c r="N346" s="86"/>
      <c r="O346" s="86"/>
      <c r="P346" s="86"/>
      <c r="Q346" s="86"/>
      <c r="R346" s="86"/>
    </row>
    <row r="347" spans="2:18" ht="15">
      <c r="B347" s="141" t="s">
        <v>841</v>
      </c>
      <c r="C347" s="80"/>
      <c r="D347" s="57" t="s">
        <v>1002</v>
      </c>
      <c r="E347" s="89"/>
      <c r="F347" s="89"/>
      <c r="G347" s="89"/>
      <c r="H347" s="89"/>
      <c r="I347" s="89"/>
      <c r="J347" s="89"/>
      <c r="K347" s="15"/>
      <c r="L347" s="15"/>
      <c r="M347" s="15"/>
      <c r="N347" s="86"/>
      <c r="O347" s="86"/>
      <c r="P347" s="86"/>
      <c r="Q347" s="86"/>
      <c r="R347" s="86"/>
    </row>
    <row r="348" spans="2:18" ht="15">
      <c r="B348" s="141"/>
      <c r="C348" s="80"/>
      <c r="D348" s="89"/>
      <c r="E348" s="89"/>
      <c r="F348" s="89"/>
      <c r="G348" s="89"/>
      <c r="H348" s="89"/>
      <c r="I348" s="89"/>
      <c r="J348" s="89"/>
      <c r="K348" s="15"/>
      <c r="L348" s="15"/>
      <c r="M348" s="15"/>
      <c r="N348" s="86"/>
      <c r="O348" s="86"/>
      <c r="P348" s="86"/>
      <c r="Q348" s="86"/>
      <c r="R348" s="86"/>
    </row>
    <row r="349" spans="2:18" ht="15">
      <c r="B349" s="96" t="s">
        <v>927</v>
      </c>
      <c r="C349" s="80"/>
      <c r="D349" s="57" t="s">
        <v>974</v>
      </c>
      <c r="H349" s="15"/>
      <c r="I349" s="15"/>
      <c r="J349" s="15"/>
      <c r="K349" s="15"/>
      <c r="L349" s="15"/>
      <c r="M349" s="15"/>
      <c r="N349" s="86"/>
      <c r="O349" s="86"/>
      <c r="P349" s="86"/>
      <c r="Q349" s="86"/>
      <c r="R349" s="86"/>
    </row>
    <row r="350" spans="2:18" ht="15">
      <c r="B350" s="96"/>
      <c r="C350" s="80"/>
      <c r="D350" s="57" t="s">
        <v>822</v>
      </c>
      <c r="H350" s="15"/>
      <c r="I350" s="15"/>
      <c r="J350" s="15"/>
      <c r="K350" s="15"/>
      <c r="L350" s="15"/>
      <c r="M350" s="15"/>
      <c r="N350" s="86"/>
      <c r="O350" s="86"/>
      <c r="P350" s="86"/>
      <c r="Q350" s="86"/>
      <c r="R350" s="86"/>
    </row>
    <row r="351" spans="2:18" ht="15">
      <c r="B351" s="96"/>
      <c r="C351" s="80"/>
      <c r="D351" s="57" t="s">
        <v>823</v>
      </c>
      <c r="H351" s="15"/>
      <c r="I351" s="15"/>
      <c r="J351" s="15"/>
      <c r="K351" s="15"/>
      <c r="L351" s="15"/>
      <c r="M351" s="15"/>
      <c r="N351" s="86"/>
      <c r="O351" s="86"/>
      <c r="P351" s="86"/>
      <c r="Q351" s="86"/>
      <c r="R351" s="86"/>
    </row>
    <row r="352" spans="2:18" ht="15">
      <c r="B352" s="96"/>
      <c r="C352" s="80"/>
      <c r="D352" s="57" t="s">
        <v>824</v>
      </c>
      <c r="E352" s="86"/>
      <c r="F352" s="86"/>
      <c r="G352" s="86"/>
      <c r="H352" s="15"/>
      <c r="I352" s="15"/>
      <c r="J352" s="15"/>
      <c r="K352" s="15"/>
      <c r="L352" s="15"/>
      <c r="M352" s="15"/>
      <c r="N352" s="86"/>
      <c r="O352" s="86"/>
      <c r="P352" s="86"/>
      <c r="Q352" s="86"/>
      <c r="R352" s="86"/>
    </row>
    <row r="353" spans="2:18" ht="15">
      <c r="B353" s="96"/>
      <c r="C353" s="80"/>
      <c r="D353" s="57" t="str">
        <f>"(ln "&amp;B197&amp;") multiplied by (1/1-T) .  If the applicable tax rates are zero enter 0."</f>
        <v>(ln 128) multiplied by (1/1-T) .  If the applicable tax rates are zero enter 0.</v>
      </c>
      <c r="E353" s="86"/>
      <c r="F353" s="86"/>
      <c r="G353" s="86"/>
      <c r="H353" s="15"/>
      <c r="I353" s="15"/>
      <c r="J353" s="15"/>
      <c r="K353" s="15"/>
      <c r="L353" s="15"/>
      <c r="M353" s="15"/>
      <c r="N353" s="86"/>
      <c r="O353" s="86"/>
      <c r="P353" s="86"/>
      <c r="Q353" s="86"/>
      <c r="R353" s="86"/>
    </row>
    <row r="354" spans="2:18" ht="15">
      <c r="B354" s="5"/>
      <c r="C354" s="86"/>
      <c r="D354" s="57" t="s">
        <v>975</v>
      </c>
      <c r="E354" s="26" t="s">
        <v>976</v>
      </c>
      <c r="F354" s="90">
        <f>+'Historic TCOS'!F352</f>
        <v>0.35</v>
      </c>
      <c r="G354" s="26"/>
      <c r="H354" s="15"/>
      <c r="I354" s="15"/>
      <c r="J354" s="15"/>
      <c r="K354" s="15"/>
      <c r="L354" s="15"/>
      <c r="M354" s="15"/>
      <c r="N354" s="86"/>
      <c r="O354" s="86"/>
      <c r="P354" s="86"/>
      <c r="Q354" s="86"/>
      <c r="R354" s="86"/>
    </row>
    <row r="355" spans="2:18" ht="15">
      <c r="B355" s="5"/>
      <c r="C355" s="86"/>
      <c r="D355" s="57"/>
      <c r="E355" s="26" t="s">
        <v>977</v>
      </c>
      <c r="F355" s="90">
        <f>+'Historic TCOS'!F353</f>
        <v>0.06</v>
      </c>
      <c r="G355" s="26" t="s">
        <v>293</v>
      </c>
      <c r="H355" s="15"/>
      <c r="I355" s="15"/>
      <c r="J355" s="15"/>
      <c r="K355" s="15"/>
      <c r="L355" s="15"/>
      <c r="M355" s="15"/>
      <c r="N355" s="86"/>
      <c r="O355" s="86"/>
      <c r="P355" s="86"/>
      <c r="Q355" s="86"/>
      <c r="R355" s="86"/>
    </row>
    <row r="356" spans="2:18" ht="15">
      <c r="B356" s="5"/>
      <c r="C356" s="86"/>
      <c r="D356" s="57"/>
      <c r="E356" s="26" t="s">
        <v>978</v>
      </c>
      <c r="F356" s="90">
        <f>+'Historic TCOS'!F354</f>
        <v>0</v>
      </c>
      <c r="G356" s="26" t="s">
        <v>979</v>
      </c>
      <c r="H356" s="15"/>
      <c r="I356" s="15"/>
      <c r="J356" s="15"/>
      <c r="K356" s="15"/>
      <c r="L356" s="15"/>
      <c r="M356" s="15"/>
      <c r="N356" s="86"/>
      <c r="O356" s="86"/>
      <c r="P356" s="86"/>
      <c r="Q356" s="86"/>
      <c r="R356" s="86"/>
    </row>
    <row r="357" spans="2:18" ht="15">
      <c r="B357" s="141"/>
      <c r="C357" s="80"/>
      <c r="D357" s="57"/>
      <c r="E357" s="15"/>
      <c r="F357" s="15"/>
      <c r="G357" s="15"/>
      <c r="H357" s="15"/>
      <c r="I357" s="15"/>
      <c r="J357" s="15"/>
      <c r="K357" s="15"/>
      <c r="L357" s="15"/>
      <c r="M357" s="26"/>
      <c r="N357" s="86"/>
      <c r="O357" s="86"/>
      <c r="P357" s="86"/>
      <c r="Q357" s="86"/>
      <c r="R357" s="86"/>
    </row>
    <row r="358" spans="2:18" ht="15">
      <c r="B358" s="96" t="s">
        <v>980</v>
      </c>
      <c r="C358" s="80"/>
      <c r="D358" s="57" t="s">
        <v>742</v>
      </c>
      <c r="E358" s="15"/>
      <c r="F358" s="15"/>
      <c r="G358" s="15"/>
      <c r="H358" s="15"/>
      <c r="I358" s="15"/>
      <c r="J358" s="15"/>
      <c r="K358" s="15"/>
      <c r="L358" s="15"/>
      <c r="M358" s="15"/>
      <c r="N358" s="86"/>
      <c r="O358" s="86"/>
      <c r="P358" s="86"/>
      <c r="Q358" s="86"/>
      <c r="R358" s="86"/>
    </row>
    <row r="359" spans="2:18" ht="15">
      <c r="B359" s="16"/>
      <c r="D359" s="57"/>
      <c r="E359" s="15"/>
      <c r="F359" s="15"/>
      <c r="G359" s="15"/>
      <c r="H359" s="15"/>
      <c r="I359" s="15"/>
      <c r="J359" s="15"/>
      <c r="K359" s="15"/>
      <c r="L359" s="15"/>
      <c r="M359" s="15"/>
      <c r="N359" s="86"/>
      <c r="O359" s="86"/>
      <c r="P359" s="86"/>
      <c r="Q359" s="86"/>
      <c r="R359" s="86"/>
    </row>
    <row r="360" spans="2:18" ht="15">
      <c r="B360" s="96" t="s">
        <v>981</v>
      </c>
      <c r="C360" s="80"/>
      <c r="D360" s="57" t="s">
        <v>494</v>
      </c>
      <c r="E360" s="15"/>
      <c r="F360" s="15"/>
      <c r="G360" s="15"/>
      <c r="H360" s="15"/>
      <c r="I360" s="15"/>
      <c r="J360" s="15"/>
      <c r="K360" s="15"/>
      <c r="L360" s="15"/>
      <c r="M360" s="15"/>
      <c r="N360" s="86"/>
      <c r="O360" s="86"/>
      <c r="P360" s="86"/>
      <c r="Q360" s="86"/>
      <c r="R360" s="86"/>
    </row>
    <row r="361" spans="2:18" ht="15">
      <c r="B361" s="96"/>
      <c r="C361" s="80"/>
      <c r="D361" s="57"/>
      <c r="E361" s="26"/>
      <c r="F361" s="26"/>
      <c r="G361" s="26"/>
      <c r="H361" s="26"/>
      <c r="I361" s="26"/>
      <c r="J361" s="26"/>
      <c r="K361" s="26"/>
      <c r="L361" s="26"/>
      <c r="M361" s="26"/>
      <c r="N361" s="86"/>
      <c r="O361" s="86"/>
      <c r="P361" s="86"/>
      <c r="Q361" s="86"/>
      <c r="R361" s="86"/>
    </row>
    <row r="362" spans="2:18" ht="15">
      <c r="B362" s="96" t="s">
        <v>982</v>
      </c>
      <c r="C362" s="80"/>
      <c r="D362" s="57" t="s">
        <v>67</v>
      </c>
      <c r="E362" s="26"/>
      <c r="F362" s="26"/>
      <c r="G362" s="26"/>
      <c r="H362" s="26"/>
      <c r="I362" s="26"/>
      <c r="J362" s="26"/>
      <c r="K362" s="26"/>
      <c r="L362" s="26"/>
      <c r="M362" s="26"/>
      <c r="N362" s="86"/>
      <c r="O362" s="86"/>
      <c r="P362" s="86"/>
      <c r="Q362" s="86"/>
      <c r="R362" s="86"/>
    </row>
    <row r="363" spans="2:18" ht="15">
      <c r="B363" s="96"/>
      <c r="C363" s="80"/>
      <c r="D363" s="57"/>
      <c r="E363" s="26"/>
      <c r="F363" s="26"/>
      <c r="G363" s="26"/>
      <c r="H363" s="26"/>
      <c r="I363" s="26"/>
      <c r="J363" s="26"/>
      <c r="K363" s="26"/>
      <c r="L363" s="26"/>
      <c r="M363" s="26"/>
      <c r="N363" s="86"/>
      <c r="O363" s="86"/>
      <c r="P363" s="86"/>
      <c r="Q363" s="86"/>
      <c r="R363" s="86"/>
    </row>
    <row r="364" spans="2:21" ht="15.75" customHeight="1">
      <c r="B364" s="982" t="s">
        <v>983</v>
      </c>
      <c r="C364" s="982"/>
      <c r="D364" s="1192" t="s">
        <v>1034</v>
      </c>
      <c r="E364" s="1193"/>
      <c r="F364" s="1193"/>
      <c r="G364" s="1193"/>
      <c r="H364" s="1193"/>
      <c r="I364" s="1193"/>
      <c r="J364" s="1193"/>
      <c r="K364" s="1037"/>
      <c r="L364" s="1037"/>
      <c r="M364"/>
      <c r="N364"/>
      <c r="O364" s="86"/>
      <c r="P364" s="86"/>
      <c r="Q364" s="86"/>
      <c r="R364" s="86"/>
      <c r="S364" s="86"/>
      <c r="T364" s="86"/>
      <c r="U364" s="86"/>
    </row>
    <row r="365" spans="2:21" ht="15">
      <c r="B365" s="982"/>
      <c r="C365" s="982"/>
      <c r="D365" s="1193"/>
      <c r="E365" s="1193"/>
      <c r="F365" s="1193"/>
      <c r="G365" s="1193"/>
      <c r="H365" s="1193"/>
      <c r="I365" s="1193"/>
      <c r="J365" s="1193"/>
      <c r="K365" s="1037"/>
      <c r="L365" s="1037"/>
      <c r="M365"/>
      <c r="N365"/>
      <c r="O365" s="86"/>
      <c r="P365" s="86"/>
      <c r="Q365" s="86"/>
      <c r="R365" s="86"/>
      <c r="S365" s="86"/>
      <c r="T365" s="86"/>
      <c r="U365" s="86"/>
    </row>
    <row r="366" spans="2:21" ht="15">
      <c r="B366" s="982"/>
      <c r="C366" s="982"/>
      <c r="D366" s="1193"/>
      <c r="E366" s="1193"/>
      <c r="F366" s="1193"/>
      <c r="G366" s="1193"/>
      <c r="H366" s="1193"/>
      <c r="I366" s="1193"/>
      <c r="J366" s="1193"/>
      <c r="K366" s="1037"/>
      <c r="L366" s="1037"/>
      <c r="M366"/>
      <c r="N366"/>
      <c r="O366" s="86"/>
      <c r="P366" s="86"/>
      <c r="Q366" s="86"/>
      <c r="R366" s="86"/>
      <c r="S366" s="86"/>
      <c r="T366" s="86"/>
      <c r="U366" s="86"/>
    </row>
    <row r="367" spans="2:21" ht="15">
      <c r="B367" s="982"/>
      <c r="C367" s="982"/>
      <c r="D367" s="1193"/>
      <c r="E367" s="1193"/>
      <c r="F367" s="1193"/>
      <c r="G367" s="1193"/>
      <c r="H367" s="1193"/>
      <c r="I367" s="1193"/>
      <c r="J367" s="1193"/>
      <c r="K367" s="1037"/>
      <c r="L367" s="1037"/>
      <c r="M367"/>
      <c r="N367"/>
      <c r="O367" s="86"/>
      <c r="P367" s="86"/>
      <c r="Q367" s="86"/>
      <c r="R367" s="86"/>
      <c r="S367" s="86"/>
      <c r="T367" s="86"/>
      <c r="U367" s="86"/>
    </row>
    <row r="368" spans="2:21" ht="15">
      <c r="B368" s="982"/>
      <c r="C368" s="982"/>
      <c r="D368" s="1193"/>
      <c r="E368" s="1193"/>
      <c r="F368" s="1193"/>
      <c r="G368" s="1193"/>
      <c r="H368" s="1193"/>
      <c r="I368" s="1193"/>
      <c r="J368" s="1193"/>
      <c r="K368" s="1037"/>
      <c r="L368" s="1037"/>
      <c r="M368"/>
      <c r="N368"/>
      <c r="O368" s="86"/>
      <c r="P368" s="86"/>
      <c r="Q368" s="86"/>
      <c r="R368" s="86"/>
      <c r="S368" s="86"/>
      <c r="T368" s="86"/>
      <c r="U368" s="86"/>
    </row>
    <row r="369" spans="2:21" ht="15">
      <c r="B369" s="982"/>
      <c r="C369" s="982"/>
      <c r="D369" s="1193"/>
      <c r="E369" s="1193"/>
      <c r="F369" s="1193"/>
      <c r="G369" s="1193"/>
      <c r="H369" s="1193"/>
      <c r="I369" s="1193"/>
      <c r="J369" s="1193"/>
      <c r="K369" s="1037"/>
      <c r="L369" s="1037"/>
      <c r="M369"/>
      <c r="N369"/>
      <c r="O369" s="86"/>
      <c r="P369" s="86"/>
      <c r="Q369" s="86"/>
      <c r="R369" s="86"/>
      <c r="S369" s="86"/>
      <c r="T369" s="86"/>
      <c r="U369" s="86"/>
    </row>
    <row r="370" spans="2:21" ht="3.75" customHeight="1">
      <c r="B370" s="982"/>
      <c r="C370" s="982"/>
      <c r="D370" s="1193"/>
      <c r="E370" s="1193"/>
      <c r="F370" s="1193"/>
      <c r="G370" s="1193"/>
      <c r="H370" s="1193"/>
      <c r="I370" s="1193"/>
      <c r="J370" s="1193"/>
      <c r="K370" s="1037"/>
      <c r="L370" s="1037"/>
      <c r="M370"/>
      <c r="N370"/>
      <c r="O370" s="86"/>
      <c r="P370" s="86"/>
      <c r="Q370" s="86"/>
      <c r="R370" s="86"/>
      <c r="S370" s="86"/>
      <c r="T370" s="86"/>
      <c r="U370" s="86"/>
    </row>
    <row r="371" spans="2:21" ht="54.75" customHeight="1">
      <c r="B371" s="982"/>
      <c r="C371" s="982"/>
      <c r="D371" s="1192" t="s">
        <v>1035</v>
      </c>
      <c r="E371" s="1193"/>
      <c r="F371" s="1193"/>
      <c r="G371" s="1193"/>
      <c r="H371" s="1193"/>
      <c r="I371" s="1193"/>
      <c r="J371" s="1193"/>
      <c r="K371" s="1037"/>
      <c r="L371" s="1037"/>
      <c r="M371"/>
      <c r="N371"/>
      <c r="O371" s="86"/>
      <c r="P371" s="86"/>
      <c r="Q371" s="86"/>
      <c r="R371" s="86"/>
      <c r="S371" s="86"/>
      <c r="T371" s="86"/>
      <c r="U371" s="86"/>
    </row>
    <row r="372" spans="2:18" s="59" customFormat="1" ht="21" customHeight="1">
      <c r="B372" s="1039"/>
      <c r="C372" s="1039"/>
      <c r="D372" s="1191"/>
      <c r="E372" s="1191"/>
      <c r="F372" s="1191"/>
      <c r="G372" s="1191"/>
      <c r="H372" s="1191"/>
      <c r="I372" s="1191"/>
      <c r="J372" s="1191"/>
      <c r="K372" s="1040"/>
      <c r="L372" s="1040"/>
      <c r="M372" s="26"/>
      <c r="N372" s="86"/>
      <c r="O372" s="86"/>
      <c r="P372" s="86"/>
      <c r="Q372" s="86"/>
      <c r="R372" s="86"/>
    </row>
    <row r="373" spans="2:18" ht="15">
      <c r="B373" s="96" t="s">
        <v>79</v>
      </c>
      <c r="C373" s="1041"/>
      <c r="D373" s="1186" t="str">
        <f>""&amp;F7&amp;"'s Common Stock is limited to 50% of the capital structure.  This limit may only be changed through a Section 205 or 206 filing effective after June 30, 2013."</f>
        <v>AEP KENTUCKY TRANSMISSION COMPANY's Common Stock is limited to 50% of the capital structure.  This limit may only be changed through a Section 205 or 206 filing effective after June 30, 2013.</v>
      </c>
      <c r="E373" s="1186"/>
      <c r="F373" s="1186"/>
      <c r="G373" s="1186"/>
      <c r="H373" s="1186"/>
      <c r="I373" s="1186"/>
      <c r="J373" s="1186"/>
      <c r="K373" s="1186"/>
      <c r="L373" s="1186"/>
      <c r="M373" s="26"/>
      <c r="N373" s="86"/>
      <c r="O373" s="86"/>
      <c r="P373" s="86"/>
      <c r="Q373" s="86"/>
      <c r="R373" s="86"/>
    </row>
    <row r="374" spans="2:18" ht="15">
      <c r="B374" s="96"/>
      <c r="C374" s="80"/>
      <c r="D374" s="1187"/>
      <c r="E374" s="1187"/>
      <c r="F374" s="1187"/>
      <c r="G374" s="1187"/>
      <c r="H374" s="1187"/>
      <c r="I374" s="1187"/>
      <c r="J374" s="1187"/>
      <c r="K374" s="1187"/>
      <c r="L374" s="1187"/>
      <c r="M374" s="26"/>
      <c r="N374" s="86"/>
      <c r="O374" s="86"/>
      <c r="P374" s="86"/>
      <c r="Q374" s="86"/>
      <c r="R374" s="86"/>
    </row>
    <row r="375" spans="2:18" ht="15">
      <c r="B375" s="96"/>
      <c r="C375" s="80"/>
      <c r="D375" s="16" t="s">
        <v>741</v>
      </c>
      <c r="M375" s="26"/>
      <c r="N375" s="86"/>
      <c r="O375" s="86"/>
      <c r="P375" s="86"/>
      <c r="Q375" s="86"/>
      <c r="R375" s="86"/>
    </row>
    <row r="376" spans="2:18" ht="15">
      <c r="B376" s="96"/>
      <c r="C376" s="80"/>
      <c r="I376" s="86" t="s">
        <v>146</v>
      </c>
      <c r="J376" s="197"/>
      <c r="M376" s="26"/>
      <c r="N376" s="86"/>
      <c r="O376" s="86"/>
      <c r="P376" s="86"/>
      <c r="Q376" s="86"/>
      <c r="R376" s="86"/>
    </row>
    <row r="377" spans="2:18" ht="15">
      <c r="B377" s="96"/>
      <c r="C377" s="80"/>
      <c r="I377" s="196" t="s">
        <v>569</v>
      </c>
      <c r="J377" s="197">
        <v>1</v>
      </c>
      <c r="M377" s="26"/>
      <c r="N377" s="86"/>
      <c r="O377" s="86"/>
      <c r="P377" s="86"/>
      <c r="Q377" s="86"/>
      <c r="R377" s="86"/>
    </row>
    <row r="378" spans="2:18" ht="15">
      <c r="B378" s="96"/>
      <c r="C378" s="80"/>
      <c r="I378" s="196" t="s">
        <v>960</v>
      </c>
      <c r="J378" s="197">
        <f>+'Historic TCOS'!J$70</f>
        <v>0</v>
      </c>
      <c r="M378" s="26"/>
      <c r="N378" s="86"/>
      <c r="O378" s="86"/>
      <c r="P378" s="86"/>
      <c r="Q378" s="86"/>
      <c r="R378" s="86"/>
    </row>
    <row r="379" spans="2:18" ht="15">
      <c r="B379" s="96"/>
      <c r="C379" s="80"/>
      <c r="I379" s="196" t="s">
        <v>692</v>
      </c>
      <c r="J379" s="197">
        <f>+'Historic TCOS'!J$71</f>
        <v>0</v>
      </c>
      <c r="M379" s="26"/>
      <c r="N379" s="86"/>
      <c r="O379" s="86"/>
      <c r="P379" s="86"/>
      <c r="Q379" s="86"/>
      <c r="R379" s="86"/>
    </row>
    <row r="380" spans="2:18" ht="15">
      <c r="B380" s="96"/>
      <c r="C380" s="80"/>
      <c r="I380" s="196" t="s">
        <v>567</v>
      </c>
      <c r="J380" s="198">
        <v>0</v>
      </c>
      <c r="M380" s="26"/>
      <c r="N380" s="86"/>
      <c r="O380" s="86"/>
      <c r="P380" s="86"/>
      <c r="Q380" s="86"/>
      <c r="R380" s="86"/>
    </row>
    <row r="381" spans="2:18" ht="15">
      <c r="B381" s="707"/>
      <c r="C381"/>
      <c r="D381"/>
      <c r="E381"/>
      <c r="F381"/>
      <c r="G381"/>
      <c r="H381"/>
      <c r="I381" s="196" t="s">
        <v>961</v>
      </c>
      <c r="J381" s="197">
        <f>+'Historic TCOS'!J$100</f>
        <v>0</v>
      </c>
      <c r="M381" s="26"/>
      <c r="N381" s="86"/>
      <c r="O381" s="86"/>
      <c r="P381" s="86"/>
      <c r="Q381" s="86"/>
      <c r="R381" s="86"/>
    </row>
    <row r="382" spans="2:18" ht="15">
      <c r="B382" s="707"/>
      <c r="C382"/>
      <c r="D382"/>
      <c r="E382"/>
      <c r="F382"/>
      <c r="G382"/>
      <c r="H382"/>
      <c r="I382" s="196" t="s">
        <v>561</v>
      </c>
      <c r="J382" s="197">
        <f>$L$229</f>
        <v>1</v>
      </c>
      <c r="M382" s="26"/>
      <c r="N382" s="86"/>
      <c r="O382" s="86"/>
      <c r="P382" s="86"/>
      <c r="Q382" s="86"/>
      <c r="R382" s="86"/>
    </row>
    <row r="383" spans="2:18" ht="15">
      <c r="B383" s="707"/>
      <c r="C383"/>
      <c r="D383"/>
      <c r="E383"/>
      <c r="F383"/>
      <c r="G383"/>
      <c r="H383"/>
      <c r="I383" s="196" t="s">
        <v>498</v>
      </c>
      <c r="J383" s="197">
        <f>$J$75</f>
        <v>1</v>
      </c>
      <c r="M383" s="26"/>
      <c r="N383" s="86"/>
      <c r="O383" s="86"/>
      <c r="P383" s="86"/>
      <c r="Q383" s="86"/>
      <c r="R383" s="86"/>
    </row>
    <row r="384" spans="2:18" ht="15">
      <c r="B384" s="707"/>
      <c r="C384"/>
      <c r="D384"/>
      <c r="E384"/>
      <c r="F384"/>
      <c r="G384"/>
      <c r="H384"/>
      <c r="I384" s="196" t="s">
        <v>571</v>
      </c>
      <c r="J384" s="197">
        <f>$L$239</f>
        <v>0.9987295825771325</v>
      </c>
      <c r="M384" s="26"/>
      <c r="N384" s="86"/>
      <c r="O384" s="86"/>
      <c r="P384" s="86"/>
      <c r="Q384" s="86"/>
      <c r="R384" s="86"/>
    </row>
    <row r="385" spans="2:18" ht="15">
      <c r="B385" s="707"/>
      <c r="C385"/>
      <c r="D385"/>
      <c r="E385"/>
      <c r="F385"/>
      <c r="G385"/>
      <c r="H385"/>
      <c r="M385" s="26"/>
      <c r="N385" s="86"/>
      <c r="O385" s="86"/>
      <c r="P385" s="86"/>
      <c r="Q385" s="86"/>
      <c r="R385" s="86"/>
    </row>
    <row r="386" spans="2:18" ht="15">
      <c r="B386" s="707"/>
      <c r="C386"/>
      <c r="D386"/>
      <c r="E386"/>
      <c r="F386"/>
      <c r="G386"/>
      <c r="H386"/>
      <c r="M386" s="26"/>
      <c r="N386" s="86"/>
      <c r="O386" s="86"/>
      <c r="P386" s="86"/>
      <c r="Q386" s="86"/>
      <c r="R386" s="86"/>
    </row>
    <row r="387" spans="2:18" ht="15">
      <c r="B387" s="707"/>
      <c r="C387"/>
      <c r="D387"/>
      <c r="E387"/>
      <c r="F387"/>
      <c r="G387"/>
      <c r="H387"/>
      <c r="M387" s="26"/>
      <c r="N387" s="86"/>
      <c r="O387" s="86"/>
      <c r="P387" s="86"/>
      <c r="Q387" s="86"/>
      <c r="R387" s="86"/>
    </row>
    <row r="388" spans="2:18" ht="15">
      <c r="B388" s="707"/>
      <c r="C388"/>
      <c r="D388"/>
      <c r="E388"/>
      <c r="F388"/>
      <c r="G388"/>
      <c r="H388"/>
      <c r="M388" s="26"/>
      <c r="N388" s="86"/>
      <c r="O388" s="86"/>
      <c r="P388" s="86"/>
      <c r="Q388" s="86"/>
      <c r="R388" s="86"/>
    </row>
    <row r="389" spans="2:18" ht="15">
      <c r="B389" s="707"/>
      <c r="C389"/>
      <c r="D389"/>
      <c r="E389"/>
      <c r="F389"/>
      <c r="G389"/>
      <c r="H389"/>
      <c r="M389" s="26"/>
      <c r="N389" s="86"/>
      <c r="O389" s="86"/>
      <c r="P389" s="86"/>
      <c r="Q389" s="86"/>
      <c r="R389" s="86"/>
    </row>
    <row r="390" spans="2:18" ht="15">
      <c r="B390" s="707"/>
      <c r="C390"/>
      <c r="D390"/>
      <c r="E390"/>
      <c r="F390"/>
      <c r="G390"/>
      <c r="H390"/>
      <c r="M390" s="26"/>
      <c r="N390" s="86"/>
      <c r="O390" s="86"/>
      <c r="P390" s="86"/>
      <c r="Q390" s="86"/>
      <c r="R390" s="86"/>
    </row>
    <row r="391" spans="2:18" ht="15">
      <c r="B391" s="707"/>
      <c r="C391"/>
      <c r="D391"/>
      <c r="E391"/>
      <c r="F391"/>
      <c r="G391"/>
      <c r="H391"/>
      <c r="M391" s="26"/>
      <c r="N391" s="86"/>
      <c r="O391" s="86"/>
      <c r="P391" s="86"/>
      <c r="Q391" s="86"/>
      <c r="R391" s="86"/>
    </row>
    <row r="392" spans="2:18" ht="15">
      <c r="B392" s="96"/>
      <c r="C392" s="80"/>
      <c r="M392" s="26"/>
      <c r="N392" s="86"/>
      <c r="O392" s="86"/>
      <c r="P392" s="86"/>
      <c r="Q392" s="86"/>
      <c r="R392" s="86"/>
    </row>
    <row r="393" spans="2:18" ht="15">
      <c r="B393" s="16"/>
      <c r="M393" s="26"/>
      <c r="N393" s="86"/>
      <c r="O393" s="86"/>
      <c r="P393" s="86"/>
      <c r="Q393" s="86"/>
      <c r="R393" s="86"/>
    </row>
    <row r="394" spans="2:18" ht="15">
      <c r="B394" s="16"/>
      <c r="M394" s="26"/>
      <c r="N394" s="86"/>
      <c r="O394" s="86"/>
      <c r="P394" s="86"/>
      <c r="Q394" s="86"/>
      <c r="R394" s="86"/>
    </row>
    <row r="395" spans="2:18" ht="15">
      <c r="B395" s="16"/>
      <c r="M395" s="26"/>
      <c r="N395" s="86"/>
      <c r="O395" s="86"/>
      <c r="P395" s="86"/>
      <c r="Q395" s="86"/>
      <c r="R395" s="86"/>
    </row>
    <row r="396" spans="2:18" ht="15">
      <c r="B396" s="16"/>
      <c r="H396" s="86"/>
      <c r="I396" s="86"/>
      <c r="J396" s="86"/>
      <c r="K396" s="86"/>
      <c r="L396" s="86"/>
      <c r="M396" s="86"/>
      <c r="N396" s="86"/>
      <c r="O396" s="86"/>
      <c r="P396" s="86"/>
      <c r="Q396" s="86"/>
      <c r="R396" s="86"/>
    </row>
    <row r="397" spans="2:18" ht="15">
      <c r="B397" s="16"/>
      <c r="H397" s="86"/>
      <c r="K397" s="86"/>
      <c r="L397" s="86"/>
      <c r="M397" s="86"/>
      <c r="N397" s="86"/>
      <c r="O397" s="86"/>
      <c r="P397" s="86"/>
      <c r="Q397" s="86"/>
      <c r="R397" s="86"/>
    </row>
    <row r="398" spans="2:18" ht="15">
      <c r="B398" s="16"/>
      <c r="H398" s="86"/>
      <c r="K398" s="86"/>
      <c r="L398" s="86"/>
      <c r="M398" s="86"/>
      <c r="N398" s="86"/>
      <c r="O398" s="86"/>
      <c r="P398" s="86"/>
      <c r="Q398" s="86"/>
      <c r="R398" s="86"/>
    </row>
    <row r="399" spans="2:18" ht="15">
      <c r="B399" s="16"/>
      <c r="H399" s="86"/>
      <c r="K399" s="86"/>
      <c r="L399" s="86"/>
      <c r="M399" s="86"/>
      <c r="N399" s="86"/>
      <c r="O399" s="86"/>
      <c r="P399" s="86"/>
      <c r="Q399" s="86"/>
      <c r="R399" s="86"/>
    </row>
    <row r="400" spans="2:18" ht="15">
      <c r="B400" s="16"/>
      <c r="H400" s="86"/>
      <c r="K400" s="86"/>
      <c r="L400" s="86"/>
      <c r="M400" s="86"/>
      <c r="N400" s="86"/>
      <c r="O400" s="86"/>
      <c r="P400" s="86"/>
      <c r="Q400" s="86"/>
      <c r="R400" s="86"/>
    </row>
    <row r="401" spans="2:18" ht="15">
      <c r="B401" s="16"/>
      <c r="H401" s="86"/>
      <c r="K401" s="86"/>
      <c r="L401" s="86"/>
      <c r="M401" s="86"/>
      <c r="N401" s="86"/>
      <c r="O401" s="86"/>
      <c r="P401" s="86"/>
      <c r="Q401" s="86"/>
      <c r="R401" s="86"/>
    </row>
    <row r="402" spans="2:18" ht="15">
      <c r="B402" s="5"/>
      <c r="C402" s="86"/>
      <c r="D402" s="86"/>
      <c r="E402" s="86"/>
      <c r="F402" s="86"/>
      <c r="G402" s="86"/>
      <c r="H402" s="86"/>
      <c r="K402" s="86"/>
      <c r="L402" s="86"/>
      <c r="M402" s="86"/>
      <c r="N402" s="86"/>
      <c r="O402" s="86"/>
      <c r="P402" s="86"/>
      <c r="Q402" s="86"/>
      <c r="R402" s="86"/>
    </row>
    <row r="403" spans="2:18" ht="15">
      <c r="B403" s="5"/>
      <c r="C403" s="86"/>
      <c r="D403" s="86"/>
      <c r="E403" s="86"/>
      <c r="F403" s="86"/>
      <c r="G403" s="86"/>
      <c r="H403" s="86"/>
      <c r="K403" s="86"/>
      <c r="L403" s="86"/>
      <c r="M403" s="86"/>
      <c r="N403" s="86"/>
      <c r="O403" s="86"/>
      <c r="P403" s="86"/>
      <c r="Q403" s="86"/>
      <c r="R403" s="86"/>
    </row>
    <row r="404" spans="2:18" ht="15">
      <c r="B404" s="5"/>
      <c r="C404" s="86"/>
      <c r="D404" s="86"/>
      <c r="E404" s="86"/>
      <c r="F404" s="86"/>
      <c r="G404" s="86"/>
      <c r="H404" s="86"/>
      <c r="K404" s="86"/>
      <c r="L404" s="86"/>
      <c r="M404" s="86"/>
      <c r="N404" s="86"/>
      <c r="O404" s="86"/>
      <c r="P404" s="86"/>
      <c r="Q404" s="86"/>
      <c r="R404" s="86"/>
    </row>
    <row r="405" spans="2:13" ht="15">
      <c r="B405" s="9"/>
      <c r="C405" s="59"/>
      <c r="D405" s="59"/>
      <c r="E405" s="59"/>
      <c r="F405" s="59"/>
      <c r="G405" s="59"/>
      <c r="H405" s="59"/>
      <c r="K405" s="59"/>
      <c r="L405" s="59"/>
      <c r="M405" s="59"/>
    </row>
    <row r="406" spans="2:13" ht="15">
      <c r="B406" s="9"/>
      <c r="C406" s="59"/>
      <c r="D406" s="59"/>
      <c r="E406" s="59"/>
      <c r="F406" s="59"/>
      <c r="G406" s="59"/>
      <c r="H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2:13" ht="15">
      <c r="B1249" s="9"/>
      <c r="C1249" s="59"/>
      <c r="D1249" s="59"/>
      <c r="E1249" s="59"/>
      <c r="F1249" s="59"/>
      <c r="G1249" s="59"/>
      <c r="H1249" s="59"/>
      <c r="I1249" s="59"/>
      <c r="J1249" s="59"/>
      <c r="K1249" s="59"/>
      <c r="L1249" s="59"/>
      <c r="M1249" s="59"/>
    </row>
    <row r="1250" spans="2:13" ht="15">
      <c r="B1250" s="9"/>
      <c r="C1250" s="59"/>
      <c r="D1250" s="59"/>
      <c r="E1250" s="59"/>
      <c r="F1250" s="59"/>
      <c r="G1250" s="59"/>
      <c r="H1250" s="59"/>
      <c r="I1250" s="59"/>
      <c r="J1250" s="59"/>
      <c r="K1250" s="59"/>
      <c r="L1250" s="59"/>
      <c r="M1250" s="59"/>
    </row>
    <row r="1251" spans="2:13" ht="15">
      <c r="B1251" s="9"/>
      <c r="C1251" s="59"/>
      <c r="D1251" s="59"/>
      <c r="E1251" s="59"/>
      <c r="F1251" s="59"/>
      <c r="G1251" s="59"/>
      <c r="H1251" s="59"/>
      <c r="I1251" s="59"/>
      <c r="J1251" s="59"/>
      <c r="K1251" s="59"/>
      <c r="L1251" s="59"/>
      <c r="M1251" s="59"/>
    </row>
    <row r="1252" spans="2:13" ht="15">
      <c r="B1252" s="9"/>
      <c r="C1252" s="59"/>
      <c r="D1252" s="59"/>
      <c r="E1252" s="59"/>
      <c r="F1252" s="59"/>
      <c r="G1252" s="59"/>
      <c r="H1252" s="59"/>
      <c r="I1252" s="59"/>
      <c r="J1252" s="59"/>
      <c r="K1252" s="59"/>
      <c r="L1252" s="59"/>
      <c r="M1252" s="59"/>
    </row>
    <row r="1253" spans="2:13" ht="15">
      <c r="B1253" s="9"/>
      <c r="C1253" s="59"/>
      <c r="D1253" s="59"/>
      <c r="E1253" s="59"/>
      <c r="F1253" s="59"/>
      <c r="G1253" s="59"/>
      <c r="H1253" s="59"/>
      <c r="I1253" s="59"/>
      <c r="J1253" s="59"/>
      <c r="K1253" s="59"/>
      <c r="L1253" s="59"/>
      <c r="M1253" s="59"/>
    </row>
    <row r="1254" spans="2:13" ht="15">
      <c r="B1254" s="9"/>
      <c r="C1254" s="59"/>
      <c r="D1254" s="59"/>
      <c r="E1254" s="59"/>
      <c r="F1254" s="59"/>
      <c r="G1254" s="59"/>
      <c r="H1254" s="59"/>
      <c r="I1254" s="59"/>
      <c r="J1254" s="59"/>
      <c r="K1254" s="59"/>
      <c r="L1254" s="59"/>
      <c r="M1254" s="59"/>
    </row>
    <row r="1255" spans="2:13" ht="15">
      <c r="B1255" s="9"/>
      <c r="C1255" s="59"/>
      <c r="D1255" s="59"/>
      <c r="E1255" s="59"/>
      <c r="F1255" s="59"/>
      <c r="G1255" s="59"/>
      <c r="H1255" s="59"/>
      <c r="I1255" s="59"/>
      <c r="J1255" s="59"/>
      <c r="K1255" s="59"/>
      <c r="L1255" s="59"/>
      <c r="M1255" s="59"/>
    </row>
    <row r="1256" spans="2:13" ht="15">
      <c r="B1256" s="9"/>
      <c r="C1256" s="59"/>
      <c r="D1256" s="59"/>
      <c r="E1256" s="59"/>
      <c r="F1256" s="59"/>
      <c r="G1256" s="59"/>
      <c r="H1256" s="59"/>
      <c r="I1256" s="59"/>
      <c r="J1256" s="59"/>
      <c r="K1256" s="59"/>
      <c r="L1256" s="59"/>
      <c r="M1256" s="59"/>
    </row>
    <row r="1257" spans="2:13" ht="15">
      <c r="B1257" s="9"/>
      <c r="C1257" s="59"/>
      <c r="D1257" s="59"/>
      <c r="E1257" s="59"/>
      <c r="F1257" s="59"/>
      <c r="G1257" s="59"/>
      <c r="H1257" s="59"/>
      <c r="I1257" s="59"/>
      <c r="J1257" s="59"/>
      <c r="K1257" s="59"/>
      <c r="L1257" s="59"/>
      <c r="M1257" s="59"/>
    </row>
    <row r="1258" spans="2:13" ht="15">
      <c r="B1258" s="9"/>
      <c r="C1258" s="59"/>
      <c r="D1258" s="59"/>
      <c r="E1258" s="59"/>
      <c r="F1258" s="59"/>
      <c r="G1258" s="59"/>
      <c r="H1258" s="59"/>
      <c r="I1258" s="59"/>
      <c r="J1258" s="59"/>
      <c r="K1258" s="59"/>
      <c r="L1258" s="59"/>
      <c r="M1258" s="59"/>
    </row>
    <row r="1259" spans="2:13" ht="15">
      <c r="B1259" s="9"/>
      <c r="C1259" s="59"/>
      <c r="D1259" s="59"/>
      <c r="E1259" s="59"/>
      <c r="F1259" s="59"/>
      <c r="G1259" s="59"/>
      <c r="H1259" s="59"/>
      <c r="I1259" s="59"/>
      <c r="J1259" s="59"/>
      <c r="K1259" s="59"/>
      <c r="L1259" s="59"/>
      <c r="M1259" s="59"/>
    </row>
    <row r="1260" spans="2:13" ht="15">
      <c r="B1260" s="9"/>
      <c r="C1260" s="59"/>
      <c r="D1260" s="59"/>
      <c r="E1260" s="59"/>
      <c r="F1260" s="59"/>
      <c r="G1260" s="59"/>
      <c r="H1260" s="59"/>
      <c r="I1260" s="59"/>
      <c r="J1260" s="59"/>
      <c r="K1260" s="59"/>
      <c r="L1260" s="59"/>
      <c r="M1260" s="59"/>
    </row>
    <row r="1261" spans="2:13" ht="15">
      <c r="B1261" s="9"/>
      <c r="C1261" s="59"/>
      <c r="D1261" s="59"/>
      <c r="E1261" s="59"/>
      <c r="F1261" s="59"/>
      <c r="G1261" s="59"/>
      <c r="H1261" s="59"/>
      <c r="I1261" s="59"/>
      <c r="J1261" s="59"/>
      <c r="K1261" s="59"/>
      <c r="L1261" s="59"/>
      <c r="M1261" s="59"/>
    </row>
    <row r="1262" spans="2:13" ht="15">
      <c r="B1262" s="9"/>
      <c r="C1262" s="59"/>
      <c r="D1262" s="59"/>
      <c r="E1262" s="59"/>
      <c r="F1262" s="59"/>
      <c r="G1262" s="59"/>
      <c r="H1262" s="59"/>
      <c r="I1262" s="59"/>
      <c r="J1262" s="59"/>
      <c r="K1262" s="59"/>
      <c r="L1262" s="59"/>
      <c r="M1262" s="59"/>
    </row>
    <row r="1263" spans="9:10" ht="15">
      <c r="I1263" s="59"/>
      <c r="J1263" s="59"/>
    </row>
  </sheetData>
  <sheetProtection/>
  <mergeCells count="19">
    <mergeCell ref="D298:K299"/>
    <mergeCell ref="I140:J140"/>
    <mergeCell ref="G251:H251"/>
    <mergeCell ref="D373:L374"/>
    <mergeCell ref="D336:K336"/>
    <mergeCell ref="D332:J334"/>
    <mergeCell ref="D372:J372"/>
    <mergeCell ref="D364:J370"/>
    <mergeCell ref="D371:J371"/>
    <mergeCell ref="B17:I18"/>
    <mergeCell ref="I53:J53"/>
    <mergeCell ref="D343:L345"/>
    <mergeCell ref="G270:H270"/>
    <mergeCell ref="D323:K325"/>
    <mergeCell ref="D35:L35"/>
    <mergeCell ref="D326:J327"/>
    <mergeCell ref="D319:K321"/>
    <mergeCell ref="I56:J56"/>
    <mergeCell ref="I137:J137"/>
  </mergeCells>
  <printOptions/>
  <pageMargins left="0.25" right="0.33" top="1" bottom="0.43" header="1" footer="0.21"/>
  <pageSetup fitToHeight="5" horizontalDpi="600" verticalDpi="600" orientation="portrait" scale="46" r:id="rId1"/>
  <headerFooter alignWithMargins="0">
    <oddHeader>&amp;R&amp;"Arial,Bold"Formula Rate 
&amp;A
Page &amp;P of &amp;N</oddHeader>
  </headerFooter>
  <rowBreaks count="4" manualBreakCount="4">
    <brk id="44" min="1" max="11" man="1"/>
    <brk id="129" min="1" max="11" man="1"/>
    <brk id="212" min="1" max="11" man="1"/>
    <brk id="277" min="1" max="11" man="1"/>
  </rowBreaks>
  <colBreaks count="1" manualBreakCount="1">
    <brk id="12" max="65535" man="1"/>
  </colBreaks>
</worksheet>
</file>

<file path=xl/worksheets/sheet20.xml><?xml version="1.0" encoding="utf-8"?>
<worksheet xmlns="http://schemas.openxmlformats.org/spreadsheetml/2006/main" xmlns:r="http://schemas.openxmlformats.org/officeDocument/2006/relationships">
  <dimension ref="A1:E32"/>
  <sheetViews>
    <sheetView zoomScale="80" zoomScaleNormal="80" zoomScaleSheetLayoutView="90" zoomScalePageLayoutView="0" workbookViewId="0" topLeftCell="A10">
      <selection activeCell="E22" sqref="E22"/>
    </sheetView>
  </sheetViews>
  <sheetFormatPr defaultColWidth="11.421875" defaultRowHeight="12.75"/>
  <cols>
    <col min="1" max="1" width="37.8515625" style="895" customWidth="1"/>
    <col min="2" max="2" width="25.421875" style="895" customWidth="1"/>
    <col min="3" max="3" width="53.421875" style="895" customWidth="1"/>
    <col min="4" max="4" width="18.421875" style="895" customWidth="1"/>
    <col min="5" max="16384" width="11.421875" style="895" customWidth="1"/>
  </cols>
  <sheetData>
    <row r="1" spans="1:4" ht="15">
      <c r="A1" s="1206" t="str">
        <f>'Historic TCOS'!$F$3</f>
        <v>AEPTCo subsidiaries in PJM</v>
      </c>
      <c r="B1" s="1206" t="str">
        <f>'Historic TCOS'!$F$3</f>
        <v>AEPTCo subsidiaries in PJM</v>
      </c>
      <c r="C1" s="1206" t="str">
        <f>'Historic TCOS'!$F$3</f>
        <v>AEPTCo subsidiaries in PJM</v>
      </c>
      <c r="D1" s="1206" t="str">
        <f>'Historic TCOS'!$F$3</f>
        <v>AEPTCo subsidiaries in PJM</v>
      </c>
    </row>
    <row r="2" spans="1:4" ht="15">
      <c r="A2" s="1206" t="str">
        <f>"Cost of Service Formula Rate Using "&amp;'Historic TCOS'!O1&amp;" FF1 Balances"</f>
        <v>Cost of Service Formula Rate Using 2014 FF1 Balances</v>
      </c>
      <c r="B2" s="1206"/>
      <c r="C2" s="1206"/>
      <c r="D2" s="1206"/>
    </row>
    <row r="3" spans="1:4" ht="15">
      <c r="A3" s="1206" t="s">
        <v>247</v>
      </c>
      <c r="B3" s="1206"/>
      <c r="C3" s="1206"/>
      <c r="D3" s="1206"/>
    </row>
    <row r="4" spans="1:4" ht="15">
      <c r="A4" s="1206" t="s">
        <v>248</v>
      </c>
      <c r="B4" s="1206"/>
      <c r="C4" s="1206"/>
      <c r="D4" s="1206"/>
    </row>
    <row r="5" spans="1:4" ht="15">
      <c r="A5" s="1251" t="str">
        <f>'Historic TCOS'!F7</f>
        <v>AEP KENTUCKY TRANSMISSION COMPANY</v>
      </c>
      <c r="B5" s="1251"/>
      <c r="C5" s="1251"/>
      <c r="D5" s="1251"/>
    </row>
    <row r="6" spans="1:4" ht="15">
      <c r="A6" s="896"/>
      <c r="B6" s="10"/>
      <c r="C6" s="10"/>
      <c r="D6" s="10"/>
    </row>
    <row r="7" spans="1:4" ht="15">
      <c r="A7" s="897"/>
      <c r="B7" s="898"/>
      <c r="C7" s="898"/>
      <c r="D7" s="898"/>
    </row>
    <row r="8" spans="1:4" ht="15">
      <c r="A8" s="899"/>
      <c r="B8" s="899"/>
      <c r="C8" s="899"/>
      <c r="D8" s="899"/>
    </row>
    <row r="9" spans="1:4" ht="15">
      <c r="A9" s="900" t="s">
        <v>249</v>
      </c>
      <c r="B9" s="898" t="s">
        <v>601</v>
      </c>
      <c r="C9" s="901"/>
      <c r="D9" s="898" t="s">
        <v>602</v>
      </c>
    </row>
    <row r="10" spans="1:4" ht="15">
      <c r="A10" s="274">
        <f>1</f>
        <v>1</v>
      </c>
      <c r="B10" s="902" t="s">
        <v>250</v>
      </c>
      <c r="C10" s="838"/>
      <c r="D10" s="274"/>
    </row>
    <row r="11" spans="1:4" ht="15">
      <c r="A11" s="274"/>
      <c r="B11" s="902"/>
      <c r="C11" s="838"/>
      <c r="D11" s="274"/>
    </row>
    <row r="12" spans="1:4" ht="15">
      <c r="A12" s="274"/>
      <c r="B12" s="903"/>
      <c r="C12" s="903"/>
      <c r="D12" s="903"/>
    </row>
    <row r="13" spans="1:4" ht="15">
      <c r="A13" s="274">
        <f>A10+1</f>
        <v>2</v>
      </c>
      <c r="B13" s="904" t="s">
        <v>699</v>
      </c>
      <c r="C13" s="905"/>
      <c r="D13" s="906"/>
    </row>
    <row r="14" spans="1:4" ht="15">
      <c r="A14" s="274">
        <f aca="true" t="shared" si="0" ref="A14:A21">+A13+1</f>
        <v>3</v>
      </c>
      <c r="B14" s="907" t="s">
        <v>700</v>
      </c>
      <c r="C14" s="907"/>
      <c r="D14" s="1142">
        <v>-76811513</v>
      </c>
    </row>
    <row r="15" spans="1:4" ht="15">
      <c r="A15" s="274">
        <f t="shared" si="0"/>
        <v>4</v>
      </c>
      <c r="B15" s="907" t="s">
        <v>251</v>
      </c>
      <c r="C15" s="907"/>
      <c r="D15" s="908">
        <v>0</v>
      </c>
    </row>
    <row r="16" spans="1:4" ht="15">
      <c r="A16" s="274">
        <f t="shared" si="0"/>
        <v>5</v>
      </c>
      <c r="B16" s="907" t="s">
        <v>252</v>
      </c>
      <c r="C16" s="907"/>
      <c r="D16" s="909">
        <f>+D14-D15</f>
        <v>-76811513</v>
      </c>
    </row>
    <row r="17" spans="1:4" ht="15">
      <c r="A17" s="274">
        <f t="shared" si="0"/>
        <v>6</v>
      </c>
      <c r="B17" s="907" t="s">
        <v>701</v>
      </c>
      <c r="C17" s="907"/>
      <c r="D17" s="1142">
        <v>1252531221.85</v>
      </c>
    </row>
    <row r="18" spans="1:4" ht="15">
      <c r="A18" s="274">
        <f t="shared" si="0"/>
        <v>7</v>
      </c>
      <c r="B18" s="907" t="s">
        <v>702</v>
      </c>
      <c r="C18" s="910"/>
      <c r="D18" s="911">
        <f>+D16/D17</f>
        <v>-0.06132502859812844</v>
      </c>
    </row>
    <row r="19" spans="1:5" ht="15">
      <c r="A19" s="274">
        <f t="shared" si="0"/>
        <v>8</v>
      </c>
      <c r="B19" s="907" t="s">
        <v>115</v>
      </c>
      <c r="C19" s="910"/>
      <c r="D19" s="1146">
        <v>-0.058</v>
      </c>
      <c r="E19" s="926"/>
    </row>
    <row r="20" spans="1:4" ht="15">
      <c r="A20" s="274">
        <f t="shared" si="0"/>
        <v>9</v>
      </c>
      <c r="B20" s="907" t="s">
        <v>116</v>
      </c>
      <c r="C20" s="907"/>
      <c r="D20" s="1144">
        <v>30991.9</v>
      </c>
    </row>
    <row r="21" spans="1:4" ht="15">
      <c r="A21" s="274">
        <f t="shared" si="0"/>
        <v>10</v>
      </c>
      <c r="B21" s="907" t="str">
        <f>"Allowable TransCo PBOP Expense for current year (Ln "&amp;A19&amp;" * Ln "&amp;A20&amp;")"</f>
        <v>Allowable TransCo PBOP Expense for current year (Ln 8 * Ln 9)</v>
      </c>
      <c r="C21" s="907"/>
      <c r="D21" s="912">
        <f>+D19*D20</f>
        <v>-1797.5302000000001</v>
      </c>
    </row>
    <row r="22" spans="1:4" ht="15">
      <c r="A22" s="274"/>
      <c r="B22" s="907"/>
      <c r="C22" s="907"/>
      <c r="D22" s="912"/>
    </row>
    <row r="23" spans="1:4" ht="15">
      <c r="A23" s="274"/>
      <c r="B23" s="907"/>
      <c r="C23" s="907"/>
      <c r="D23" s="912"/>
    </row>
    <row r="24" spans="1:4" ht="15">
      <c r="A24" s="274">
        <f>+A21+1</f>
        <v>11</v>
      </c>
      <c r="B24" s="913" t="s">
        <v>253</v>
      </c>
      <c r="C24" s="907"/>
      <c r="D24" s="1154">
        <v>0</v>
      </c>
    </row>
    <row r="25" spans="1:4" ht="15">
      <c r="A25" s="274">
        <f>+A24+1</f>
        <v>12</v>
      </c>
      <c r="B25" s="914" t="s">
        <v>254</v>
      </c>
      <c r="C25" s="907"/>
      <c r="D25" s="1154">
        <v>0</v>
      </c>
    </row>
    <row r="26" spans="1:4" ht="15">
      <c r="A26" s="274">
        <f>+A25+1</f>
        <v>13</v>
      </c>
      <c r="B26" s="914" t="s">
        <v>117</v>
      </c>
      <c r="C26" s="907"/>
      <c r="D26" s="1154">
        <v>0</v>
      </c>
    </row>
    <row r="27" spans="1:4" ht="15" thickBot="1">
      <c r="A27" s="915">
        <f>+A26+1</f>
        <v>14</v>
      </c>
      <c r="B27" s="916" t="s">
        <v>835</v>
      </c>
      <c r="C27" s="917"/>
      <c r="D27" s="1143">
        <v>-1210</v>
      </c>
    </row>
    <row r="28" spans="1:4" ht="15">
      <c r="A28" s="274">
        <f>+A27+1</f>
        <v>15</v>
      </c>
      <c r="B28" s="903" t="s">
        <v>255</v>
      </c>
      <c r="C28" s="903" t="str">
        <f>"(Sum Lines "&amp;A24&amp;"-"&amp;A27&amp;")"</f>
        <v>(Sum Lines 11-14)</v>
      </c>
      <c r="D28" s="918">
        <f>SUM(D24:D27)</f>
        <v>-1210</v>
      </c>
    </row>
    <row r="29" spans="1:4" ht="15">
      <c r="A29" s="274"/>
      <c r="B29" s="903"/>
      <c r="C29" s="903"/>
      <c r="D29" s="918"/>
    </row>
    <row r="30" spans="1:4" ht="15">
      <c r="A30" s="274"/>
      <c r="B30" s="903"/>
      <c r="C30" s="903"/>
      <c r="D30" s="918"/>
    </row>
    <row r="31" spans="1:4" s="232" customFormat="1" ht="15">
      <c r="A31" s="274">
        <f>A28+1</f>
        <v>16</v>
      </c>
      <c r="B31" s="903" t="s">
        <v>256</v>
      </c>
      <c r="C31" s="903" t="str">
        <f>"Line "&amp;A21&amp;" less Line "&amp;A28&amp;""</f>
        <v>Line 10 less Line 15</v>
      </c>
      <c r="D31" s="919">
        <f>D21-D28</f>
        <v>-587.5302000000001</v>
      </c>
    </row>
    <row r="32" ht="12.75">
      <c r="A32" s="920"/>
    </row>
  </sheetData>
  <sheetProtection/>
  <mergeCells count="5">
    <mergeCell ref="A5:D5"/>
    <mergeCell ref="A3:D3"/>
    <mergeCell ref="A1:D1"/>
    <mergeCell ref="A2:D2"/>
    <mergeCell ref="A4:D4"/>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G36"/>
  <sheetViews>
    <sheetView defaultGridColor="0" zoomScale="70" zoomScaleNormal="70" zoomScalePageLayoutView="0" colorId="22" workbookViewId="0" topLeftCell="A1">
      <selection activeCell="E22" sqref="E22"/>
    </sheetView>
  </sheetViews>
  <sheetFormatPr defaultColWidth="14.7109375" defaultRowHeight="12.75"/>
  <cols>
    <col min="1" max="1" width="5.7109375" style="878" customWidth="1"/>
    <col min="2" max="2" width="42.57421875" style="878" customWidth="1"/>
    <col min="3" max="3" width="16.28125" style="878" bestFit="1" customWidth="1"/>
    <col min="4" max="4" width="16.8515625" style="878" customWidth="1"/>
    <col min="5" max="5" width="18.00390625" style="878" customWidth="1"/>
    <col min="6" max="7" width="16.28125" style="878" bestFit="1" customWidth="1"/>
    <col min="8" max="16384" width="14.7109375" style="878" customWidth="1"/>
  </cols>
  <sheetData>
    <row r="1" spans="2:7" ht="18">
      <c r="B1" s="1254" t="str">
        <f>'Historic TCOS'!$F$3</f>
        <v>AEPTCo subsidiaries in PJM</v>
      </c>
      <c r="C1" s="1254"/>
      <c r="D1" s="1254"/>
      <c r="E1" s="1254"/>
      <c r="F1" s="967"/>
      <c r="G1" s="967"/>
    </row>
    <row r="2" spans="2:7" ht="18">
      <c r="B2" s="1254" t="s">
        <v>105</v>
      </c>
      <c r="C2" s="1254"/>
      <c r="D2" s="1254"/>
      <c r="E2" s="1254"/>
      <c r="F2" s="967"/>
      <c r="G2" s="967"/>
    </row>
    <row r="3" spans="2:7" ht="18">
      <c r="B3" s="1254" t="s">
        <v>106</v>
      </c>
      <c r="C3" s="1254"/>
      <c r="D3" s="1254"/>
      <c r="E3" s="1254"/>
      <c r="F3" s="967"/>
      <c r="G3" s="967"/>
    </row>
    <row r="4" spans="2:7" ht="18">
      <c r="B4" s="1254" t="s">
        <v>107</v>
      </c>
      <c r="C4" s="1254"/>
      <c r="D4" s="1254"/>
      <c r="E4" s="1254"/>
      <c r="F4" s="967"/>
      <c r="G4" s="967"/>
    </row>
    <row r="5" spans="2:7" ht="18">
      <c r="B5" s="1254" t="s">
        <v>108</v>
      </c>
      <c r="C5" s="1254"/>
      <c r="D5" s="1254"/>
      <c r="E5" s="1254"/>
      <c r="F5" s="967"/>
      <c r="G5" s="967"/>
    </row>
    <row r="6" spans="2:7" ht="18">
      <c r="B6" s="1254"/>
      <c r="C6" s="1254"/>
      <c r="D6" s="1254"/>
      <c r="E6" s="1254"/>
      <c r="F6" s="967"/>
      <c r="G6" s="967"/>
    </row>
    <row r="7" spans="2:7" ht="18">
      <c r="B7" s="1255" t="str">
        <f>'Historic TCOS'!F7</f>
        <v>AEP KENTUCKY TRANSMISSION COMPANY</v>
      </c>
      <c r="C7" s="1170"/>
      <c r="D7" s="1170"/>
      <c r="E7" s="1170"/>
      <c r="F7" s="967"/>
      <c r="G7" s="967"/>
    </row>
    <row r="9" spans="2:4" ht="15">
      <c r="B9" s="879"/>
      <c r="C9" s="879"/>
      <c r="D9" s="880"/>
    </row>
    <row r="10" spans="2:4" ht="15">
      <c r="B10" s="879"/>
      <c r="C10" s="968" t="s">
        <v>843</v>
      </c>
      <c r="D10" s="968" t="s">
        <v>845</v>
      </c>
    </row>
    <row r="11" spans="2:4" ht="15.75" thickBot="1">
      <c r="B11" s="880"/>
      <c r="C11" s="968" t="s">
        <v>844</v>
      </c>
      <c r="D11" s="970" t="s">
        <v>287</v>
      </c>
    </row>
    <row r="12" spans="2:4" ht="15">
      <c r="B12" s="882" t="s">
        <v>846</v>
      </c>
      <c r="C12" s="883"/>
      <c r="D12" s="884"/>
    </row>
    <row r="13" spans="2:4" ht="15">
      <c r="B13" s="969"/>
      <c r="C13" s="886"/>
      <c r="D13" s="887"/>
    </row>
    <row r="14" spans="2:4" ht="15">
      <c r="B14" s="976" t="s">
        <v>864</v>
      </c>
      <c r="C14" s="885">
        <v>350.1</v>
      </c>
      <c r="D14" s="887"/>
    </row>
    <row r="15" spans="2:6" ht="15">
      <c r="B15" s="888" t="s">
        <v>847</v>
      </c>
      <c r="C15" s="885">
        <v>352</v>
      </c>
      <c r="D15" s="881">
        <v>0.0171</v>
      </c>
      <c r="E15" s="889"/>
      <c r="F15" s="889"/>
    </row>
    <row r="16" spans="2:4" ht="15">
      <c r="B16" s="888" t="s">
        <v>848</v>
      </c>
      <c r="C16" s="885">
        <v>353</v>
      </c>
      <c r="D16" s="881">
        <v>0.0171</v>
      </c>
    </row>
    <row r="17" spans="2:4" ht="15">
      <c r="B17" s="888" t="s">
        <v>849</v>
      </c>
      <c r="C17" s="885">
        <v>354</v>
      </c>
      <c r="D17" s="881">
        <v>0.0171</v>
      </c>
    </row>
    <row r="18" spans="2:5" ht="15">
      <c r="B18" s="888" t="s">
        <v>850</v>
      </c>
      <c r="C18" s="885">
        <v>355</v>
      </c>
      <c r="D18" s="881">
        <v>0.0171</v>
      </c>
      <c r="E18" s="889"/>
    </row>
    <row r="19" spans="2:5" ht="15">
      <c r="B19" s="888" t="s">
        <v>851</v>
      </c>
      <c r="C19" s="885">
        <v>356</v>
      </c>
      <c r="D19" s="881">
        <v>0.0171</v>
      </c>
      <c r="E19" s="890"/>
    </row>
    <row r="20" spans="2:4" ht="15">
      <c r="B20" s="888" t="s">
        <v>852</v>
      </c>
      <c r="C20" s="885">
        <v>357</v>
      </c>
      <c r="D20" s="881">
        <v>0.0171</v>
      </c>
    </row>
    <row r="21" spans="2:4" ht="15">
      <c r="B21" s="888" t="s">
        <v>853</v>
      </c>
      <c r="C21" s="885">
        <v>358</v>
      </c>
      <c r="D21" s="881">
        <v>0.0171</v>
      </c>
    </row>
    <row r="22" spans="2:4" ht="15">
      <c r="B22" s="888" t="s">
        <v>970</v>
      </c>
      <c r="C22" s="885">
        <v>359</v>
      </c>
      <c r="D22" s="881">
        <v>0.0171</v>
      </c>
    </row>
    <row r="24" spans="2:7" ht="61.5" customHeight="1">
      <c r="B24" s="1256" t="s">
        <v>967</v>
      </c>
      <c r="C24" s="1257"/>
      <c r="D24" s="1257"/>
      <c r="E24" s="1257"/>
      <c r="F24" s="881"/>
      <c r="G24" s="886"/>
    </row>
    <row r="25" spans="2:7" ht="16.5" customHeight="1">
      <c r="B25" s="973"/>
      <c r="C25" s="974"/>
      <c r="D25" s="974"/>
      <c r="E25" s="974"/>
      <c r="F25" s="881"/>
      <c r="G25" s="886"/>
    </row>
    <row r="26" spans="1:4" ht="13.5" customHeight="1">
      <c r="A26" s="888"/>
      <c r="B26" s="972" t="s">
        <v>890</v>
      </c>
      <c r="C26" s="957" t="s">
        <v>968</v>
      </c>
      <c r="D26" s="958" t="s">
        <v>739</v>
      </c>
    </row>
    <row r="27" spans="1:4" ht="15">
      <c r="A27" s="1060">
        <v>1</v>
      </c>
      <c r="B27" s="1061" t="s">
        <v>738</v>
      </c>
      <c r="C27" s="1063">
        <v>438744866</v>
      </c>
      <c r="D27" s="1064">
        <f>+C27</f>
        <v>438744866</v>
      </c>
    </row>
    <row r="28" spans="1:4" ht="15">
      <c r="A28" s="1060">
        <f>A27+1</f>
        <v>2</v>
      </c>
      <c r="B28" s="1061" t="s">
        <v>737</v>
      </c>
      <c r="C28" s="1063">
        <v>431804417</v>
      </c>
      <c r="D28" s="1064">
        <f>+C28</f>
        <v>431804417</v>
      </c>
    </row>
    <row r="29" spans="1:4" ht="15">
      <c r="A29" s="1060">
        <f>A28+1</f>
        <v>3</v>
      </c>
      <c r="B29" s="1061" t="s">
        <v>118</v>
      </c>
      <c r="C29" s="1063">
        <f>AVERAGE(C27:C28)</f>
        <v>435274641.5</v>
      </c>
      <c r="D29" s="1064">
        <f>+C29</f>
        <v>435274641.5</v>
      </c>
    </row>
    <row r="30" spans="1:4" ht="15">
      <c r="A30" s="1060">
        <f>A29+1</f>
        <v>4</v>
      </c>
      <c r="B30" s="1062" t="s">
        <v>740</v>
      </c>
      <c r="C30" s="1063">
        <v>7420678</v>
      </c>
      <c r="D30" s="1064">
        <f>+C30</f>
        <v>7420678</v>
      </c>
    </row>
    <row r="31" spans="1:4" ht="15">
      <c r="A31" s="950">
        <f>A30+1</f>
        <v>5</v>
      </c>
      <c r="B31" s="959" t="s">
        <v>854</v>
      </c>
      <c r="C31" s="975" t="s">
        <v>555</v>
      </c>
      <c r="D31" s="962">
        <f>D30/D29</f>
        <v>0.017048266295568243</v>
      </c>
    </row>
    <row r="32" spans="2:7" ht="15">
      <c r="B32" s="950"/>
      <c r="C32" s="888"/>
      <c r="D32" s="950"/>
      <c r="E32" s="950"/>
      <c r="F32" s="966"/>
      <c r="G32" s="966"/>
    </row>
    <row r="33" spans="2:7" ht="15" customHeight="1">
      <c r="B33" s="1252" t="s">
        <v>969</v>
      </c>
      <c r="C33" s="1253"/>
      <c r="D33" s="1253"/>
      <c r="E33" s="1253"/>
      <c r="F33" s="965"/>
      <c r="G33" s="965"/>
    </row>
    <row r="34" spans="2:7" ht="15" customHeight="1">
      <c r="B34" s="1253"/>
      <c r="C34" s="1253"/>
      <c r="D34" s="1253"/>
      <c r="E34" s="1253"/>
      <c r="F34" s="965"/>
      <c r="G34" s="965"/>
    </row>
    <row r="35" spans="2:7" ht="75.75" customHeight="1">
      <c r="B35" s="1253"/>
      <c r="C35" s="1253"/>
      <c r="D35" s="1253"/>
      <c r="E35" s="1253"/>
      <c r="F35" s="965"/>
      <c r="G35" s="965"/>
    </row>
    <row r="36" spans="2:5" ht="15" customHeight="1">
      <c r="B36" s="971"/>
      <c r="C36" s="971"/>
      <c r="D36" s="971"/>
      <c r="E36" s="971"/>
    </row>
  </sheetData>
  <sheetProtection/>
  <mergeCells count="9">
    <mergeCell ref="B33:E35"/>
    <mergeCell ref="B1:E1"/>
    <mergeCell ref="B2:E2"/>
    <mergeCell ref="B3:E3"/>
    <mergeCell ref="B4:E4"/>
    <mergeCell ref="B5:E5"/>
    <mergeCell ref="B6:E6"/>
    <mergeCell ref="B7:E7"/>
    <mergeCell ref="B24:E24"/>
  </mergeCells>
  <conditionalFormatting sqref="F36:G65536 C37:E65536 B38:B65536 B9:C20 D32 H31:IV65536 G26:IV30 B24:B30 B21:D22 B32:B33 A26:A31 F32:G32 F24:IV25 D9:D10 F2:G7 H1:IV8 B1:B7 C2:E6 E9:IV23 D12:D20 C26:D31">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0"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dimension ref="A1:L237"/>
  <sheetViews>
    <sheetView view="pageBreakPreview" zoomScale="75" zoomScaleNormal="75" zoomScaleSheetLayoutView="75" zoomScalePageLayoutView="0" workbookViewId="0" topLeftCell="A1">
      <selection activeCell="D4" sqref="D4"/>
    </sheetView>
  </sheetViews>
  <sheetFormatPr defaultColWidth="9.140625" defaultRowHeight="12.75"/>
  <cols>
    <col min="1" max="1" width="4.57421875" style="927" customWidth="1"/>
    <col min="2" max="2" width="66.421875" style="927" customWidth="1"/>
    <col min="3" max="3" width="15.8515625" style="927" customWidth="1"/>
    <col min="4" max="4" width="16.140625" style="927" customWidth="1"/>
    <col min="5" max="5" width="17.421875" style="927" customWidth="1"/>
    <col min="6" max="6" width="16.421875" style="927" customWidth="1"/>
    <col min="7" max="7" width="14.7109375" style="927" customWidth="1"/>
    <col min="8" max="8" width="18.00390625" style="927" customWidth="1"/>
    <col min="9" max="9" width="13.57421875" style="927" customWidth="1"/>
    <col min="10" max="10" width="23.140625" style="927" customWidth="1"/>
    <col min="11" max="16384" width="9.140625" style="927" customWidth="1"/>
  </cols>
  <sheetData>
    <row r="1" spans="1:10" ht="12.75">
      <c r="A1" s="1259" t="s">
        <v>703</v>
      </c>
      <c r="B1" s="1259"/>
      <c r="C1" s="1259"/>
      <c r="D1" s="1259"/>
      <c r="E1" s="1259"/>
      <c r="F1" s="1259"/>
      <c r="G1" s="1259"/>
      <c r="H1" s="1259"/>
      <c r="I1" s="1259"/>
      <c r="J1" s="1259"/>
    </row>
    <row r="2" spans="1:10" ht="12.75">
      <c r="A2" s="1259" t="str">
        <f>"Consolidation of Operating Companies' Capital Structure @ December 31, "&amp;'Historic TCOS'!O1&amp;""</f>
        <v>Consolidation of Operating Companies' Capital Structure @ December 31, 2014</v>
      </c>
      <c r="B2" s="1259"/>
      <c r="C2" s="1259"/>
      <c r="D2" s="1259"/>
      <c r="E2" s="1259"/>
      <c r="F2" s="1259"/>
      <c r="G2" s="1259"/>
      <c r="H2" s="1259"/>
      <c r="I2" s="1259"/>
      <c r="J2" s="1259"/>
    </row>
    <row r="3" spans="1:10" ht="12.75">
      <c r="A3" s="1259" t="s">
        <v>176</v>
      </c>
      <c r="B3" s="1259"/>
      <c r="C3" s="1259"/>
      <c r="D3" s="1259"/>
      <c r="E3" s="1259"/>
      <c r="F3" s="1259"/>
      <c r="G3" s="1259"/>
      <c r="H3" s="1259"/>
      <c r="I3" s="1259"/>
      <c r="J3" s="1259"/>
    </row>
    <row r="5" spans="1:10" ht="52.5">
      <c r="A5" s="927" t="s">
        <v>608</v>
      </c>
      <c r="C5" s="928" t="s">
        <v>704</v>
      </c>
      <c r="D5" s="928"/>
      <c r="E5" s="928" t="s">
        <v>705</v>
      </c>
      <c r="F5" s="928" t="s">
        <v>706</v>
      </c>
      <c r="G5" s="928" t="s">
        <v>707</v>
      </c>
      <c r="H5" s="928" t="s">
        <v>708</v>
      </c>
      <c r="I5" s="928" t="s">
        <v>709</v>
      </c>
      <c r="J5" s="928" t="s">
        <v>710</v>
      </c>
    </row>
    <row r="6" ht="15">
      <c r="A6" s="658" t="s">
        <v>711</v>
      </c>
    </row>
    <row r="7" spans="1:10" ht="12.75">
      <c r="A7" s="927">
        <v>1</v>
      </c>
      <c r="B7" s="666" t="s">
        <v>435</v>
      </c>
      <c r="C7" s="1076">
        <v>367622368</v>
      </c>
      <c r="D7" s="1076"/>
      <c r="E7" s="1076">
        <v>0</v>
      </c>
      <c r="F7" s="1076">
        <v>0</v>
      </c>
      <c r="G7" s="1076">
        <v>0</v>
      </c>
      <c r="H7" s="1076">
        <v>0</v>
      </c>
      <c r="I7" s="1076">
        <v>0</v>
      </c>
      <c r="J7" s="370">
        <f>SUM(C7:I7)</f>
        <v>367622368</v>
      </c>
    </row>
    <row r="8" spans="1:10" ht="12.75">
      <c r="A8" s="927">
        <f>A7+1</f>
        <v>2</v>
      </c>
      <c r="B8" s="666" t="s">
        <v>436</v>
      </c>
      <c r="C8" s="1076">
        <v>0</v>
      </c>
      <c r="D8" s="1076"/>
      <c r="E8" s="1076">
        <v>40000000</v>
      </c>
      <c r="F8" s="1076">
        <v>0</v>
      </c>
      <c r="G8" s="1076">
        <v>0</v>
      </c>
      <c r="H8" s="1076">
        <v>345400000</v>
      </c>
      <c r="I8" s="1076">
        <v>0</v>
      </c>
      <c r="J8" s="370">
        <f>SUM(C8:I8)</f>
        <v>385400000</v>
      </c>
    </row>
    <row r="9" spans="1:10" ht="12.75">
      <c r="A9" s="927">
        <f>A8+1</f>
        <v>3</v>
      </c>
      <c r="B9" s="802" t="s">
        <v>831</v>
      </c>
      <c r="C9" s="1076">
        <v>86000000</v>
      </c>
      <c r="D9" s="1076"/>
      <c r="E9" s="1076">
        <v>0</v>
      </c>
      <c r="F9" s="1076">
        <v>0</v>
      </c>
      <c r="G9" s="1076">
        <v>20000000</v>
      </c>
      <c r="H9" s="1076">
        <v>0</v>
      </c>
      <c r="I9" s="1076">
        <v>25000000</v>
      </c>
      <c r="J9" s="370">
        <f>SUM(C9:I9)</f>
        <v>131000000</v>
      </c>
    </row>
    <row r="10" spans="1:10" ht="12.75">
      <c r="A10" s="927">
        <f>A9+1</f>
        <v>4</v>
      </c>
      <c r="B10" s="802" t="s">
        <v>322</v>
      </c>
      <c r="C10" s="1076">
        <v>3534821976</v>
      </c>
      <c r="D10" s="1076"/>
      <c r="E10" s="1076">
        <f>1894409940-265502031</f>
        <v>1628907909</v>
      </c>
      <c r="F10" s="1076">
        <v>820000000</v>
      </c>
      <c r="G10" s="1076">
        <v>0</v>
      </c>
      <c r="H10" s="1076">
        <v>2415019994</v>
      </c>
      <c r="I10" s="1076">
        <v>0</v>
      </c>
      <c r="J10" s="370">
        <f>SUM(C10:I10)</f>
        <v>8398749879</v>
      </c>
    </row>
    <row r="11" spans="1:10" ht="12.75">
      <c r="A11" s="927">
        <f>A10+1</f>
        <v>5</v>
      </c>
      <c r="B11" s="802" t="str">
        <f>"Less: Fair Value Hedges (See Note on Ln "&amp;A14&amp;" below)"</f>
        <v>Less: Fair Value Hedges (See Note on Ln 7 below)</v>
      </c>
      <c r="C11" s="1077">
        <v>0</v>
      </c>
      <c r="D11" s="1077"/>
      <c r="E11" s="1077">
        <v>0</v>
      </c>
      <c r="F11" s="1077">
        <v>0</v>
      </c>
      <c r="G11" s="1077">
        <v>0</v>
      </c>
      <c r="H11" s="1077">
        <v>0</v>
      </c>
      <c r="I11" s="1077">
        <v>0</v>
      </c>
      <c r="J11" s="929">
        <f>SUM(C11:I11)</f>
        <v>0</v>
      </c>
    </row>
    <row r="12" spans="1:10" ht="12.75">
      <c r="A12" s="927">
        <f>A11+1</f>
        <v>6</v>
      </c>
      <c r="B12" s="667" t="s">
        <v>885</v>
      </c>
      <c r="C12" s="930">
        <f aca="true" t="shared" si="0" ref="C12:J12">C7-C8+C9+C10-C11</f>
        <v>3988444344</v>
      </c>
      <c r="D12" s="930"/>
      <c r="E12" s="930">
        <f t="shared" si="0"/>
        <v>1588907909</v>
      </c>
      <c r="F12" s="930">
        <f t="shared" si="0"/>
        <v>820000000</v>
      </c>
      <c r="G12" s="930">
        <f t="shared" si="0"/>
        <v>20000000</v>
      </c>
      <c r="H12" s="930">
        <f t="shared" si="0"/>
        <v>2069619994</v>
      </c>
      <c r="I12" s="930">
        <f t="shared" si="0"/>
        <v>25000000</v>
      </c>
      <c r="J12" s="930">
        <f t="shared" si="0"/>
        <v>8511972247</v>
      </c>
    </row>
    <row r="14" spans="1:10" ht="12.75" customHeight="1">
      <c r="A14" s="927">
        <f>A12+1</f>
        <v>7</v>
      </c>
      <c r="B14" s="1258" t="s">
        <v>1036</v>
      </c>
      <c r="C14" s="1258"/>
      <c r="D14" s="1258"/>
      <c r="E14" s="1258"/>
      <c r="F14" s="1258"/>
      <c r="G14" s="1258"/>
      <c r="H14" s="1258"/>
      <c r="I14" s="1258"/>
      <c r="J14" s="1258"/>
    </row>
    <row r="15" spans="2:10" ht="12.75" customHeight="1">
      <c r="B15" s="931"/>
      <c r="C15" s="931"/>
      <c r="D15" s="931"/>
      <c r="E15" s="931"/>
      <c r="F15" s="931"/>
      <c r="G15" s="931"/>
      <c r="H15" s="931"/>
      <c r="I15" s="931"/>
      <c r="J15" s="931"/>
    </row>
    <row r="16" ht="15">
      <c r="A16" s="658" t="s">
        <v>712</v>
      </c>
    </row>
    <row r="17" spans="1:10" ht="12.75">
      <c r="A17" s="927">
        <f>A14+1</f>
        <v>8</v>
      </c>
      <c r="B17" s="666" t="s">
        <v>438</v>
      </c>
      <c r="C17" s="1078">
        <v>198433109</v>
      </c>
      <c r="D17" s="1078"/>
      <c r="E17" s="1078">
        <v>82484400</v>
      </c>
      <c r="F17" s="1078">
        <v>38642264</v>
      </c>
      <c r="G17" s="1078">
        <v>904000</v>
      </c>
      <c r="H17" s="1078">
        <v>121704036</v>
      </c>
      <c r="I17" s="1078">
        <v>1312500</v>
      </c>
      <c r="J17" s="481">
        <f aca="true" t="shared" si="1" ref="J17:J22">SUM(C17:I17)</f>
        <v>443480309</v>
      </c>
    </row>
    <row r="18" spans="1:10" ht="12.75">
      <c r="A18" s="927">
        <f aca="true" t="shared" si="2" ref="A18:A23">A17+1</f>
        <v>9</v>
      </c>
      <c r="B18" s="666" t="s">
        <v>427</v>
      </c>
      <c r="C18" s="1078">
        <v>3105002</v>
      </c>
      <c r="D18" s="1078"/>
      <c r="E18" s="1078">
        <v>2188650</v>
      </c>
      <c r="F18" s="1078">
        <v>517866</v>
      </c>
      <c r="G18" s="1078">
        <v>0</v>
      </c>
      <c r="H18" s="1078">
        <v>1580870</v>
      </c>
      <c r="I18" s="1078">
        <v>0</v>
      </c>
      <c r="J18" s="481">
        <f t="shared" si="1"/>
        <v>7392388</v>
      </c>
    </row>
    <row r="19" spans="1:10" ht="12.75">
      <c r="A19" s="927">
        <f t="shared" si="2"/>
        <v>10</v>
      </c>
      <c r="B19" s="666" t="s">
        <v>428</v>
      </c>
      <c r="C19" s="1078">
        <v>7213006</v>
      </c>
      <c r="D19" s="1078"/>
      <c r="E19" s="1078">
        <v>8235783</v>
      </c>
      <c r="F19" s="1078">
        <v>33635</v>
      </c>
      <c r="G19" s="1078">
        <v>0</v>
      </c>
      <c r="H19" s="1078">
        <v>1338683</v>
      </c>
      <c r="I19" s="1078">
        <v>0</v>
      </c>
      <c r="J19" s="481">
        <f t="shared" si="1"/>
        <v>16821107</v>
      </c>
    </row>
    <row r="20" spans="1:10" ht="12.75">
      <c r="A20" s="927">
        <f t="shared" si="2"/>
        <v>11</v>
      </c>
      <c r="B20" s="666" t="s">
        <v>429</v>
      </c>
      <c r="C20" s="1076">
        <v>0</v>
      </c>
      <c r="D20" s="1076"/>
      <c r="E20" s="1076">
        <v>0</v>
      </c>
      <c r="F20" s="1076">
        <v>0</v>
      </c>
      <c r="G20" s="1076">
        <v>0</v>
      </c>
      <c r="H20" s="1076">
        <v>0</v>
      </c>
      <c r="I20" s="1076">
        <v>0</v>
      </c>
      <c r="J20" s="370">
        <f t="shared" si="1"/>
        <v>0</v>
      </c>
    </row>
    <row r="21" spans="1:10" ht="12.75">
      <c r="A21" s="927">
        <f t="shared" si="2"/>
        <v>12</v>
      </c>
      <c r="B21" s="666" t="s">
        <v>430</v>
      </c>
      <c r="C21" s="1076">
        <v>0</v>
      </c>
      <c r="D21" s="1076"/>
      <c r="E21" s="1076">
        <v>1712</v>
      </c>
      <c r="F21" s="1076">
        <v>0</v>
      </c>
      <c r="G21" s="1076">
        <v>0</v>
      </c>
      <c r="H21" s="1076">
        <v>0</v>
      </c>
      <c r="I21" s="1076">
        <v>0</v>
      </c>
      <c r="J21" s="370">
        <f t="shared" si="1"/>
        <v>1712</v>
      </c>
    </row>
    <row r="22" spans="1:10" ht="12.75">
      <c r="A22" s="927">
        <f t="shared" si="2"/>
        <v>13</v>
      </c>
      <c r="B22" s="932" t="s">
        <v>713</v>
      </c>
      <c r="C22" s="1077">
        <f>826212-1131432+445765+1336324-238880+37068-194198+159672</f>
        <v>1240531</v>
      </c>
      <c r="D22" s="1077"/>
      <c r="E22" s="1077">
        <f>768109-383570+421740</f>
        <v>806279</v>
      </c>
      <c r="F22" s="1077">
        <v>92956</v>
      </c>
      <c r="G22" s="1077">
        <v>0</v>
      </c>
      <c r="H22" s="1077">
        <f>-418450-1679213</f>
        <v>-2097663</v>
      </c>
      <c r="I22" s="1077">
        <v>0</v>
      </c>
      <c r="J22" s="929">
        <f t="shared" si="1"/>
        <v>42103</v>
      </c>
    </row>
    <row r="23" spans="1:10" ht="12.75">
      <c r="A23" s="927">
        <f t="shared" si="2"/>
        <v>14</v>
      </c>
      <c r="B23" s="992" t="s">
        <v>886</v>
      </c>
      <c r="C23" s="934">
        <f aca="true" t="shared" si="3" ref="C23:I23">C17+C18+C19-C20-C21-C22</f>
        <v>207510586</v>
      </c>
      <c r="D23" s="934"/>
      <c r="E23" s="934">
        <f t="shared" si="3"/>
        <v>92100842</v>
      </c>
      <c r="F23" s="934">
        <f t="shared" si="3"/>
        <v>39100809</v>
      </c>
      <c r="G23" s="934">
        <f t="shared" si="3"/>
        <v>904000</v>
      </c>
      <c r="H23" s="934">
        <f t="shared" si="3"/>
        <v>126721252</v>
      </c>
      <c r="I23" s="934">
        <f t="shared" si="3"/>
        <v>1312500</v>
      </c>
      <c r="J23" s="934">
        <f>J17+J18+J19-J20-J21-J22</f>
        <v>467649989</v>
      </c>
    </row>
    <row r="25" spans="1:5" ht="15">
      <c r="A25" s="658" t="s">
        <v>714</v>
      </c>
      <c r="B25" s="935"/>
      <c r="C25" s="935"/>
      <c r="D25" s="935"/>
      <c r="E25" s="935"/>
    </row>
    <row r="26" spans="1:10" ht="12.75">
      <c r="A26" s="927">
        <f>A23+1</f>
        <v>15</v>
      </c>
      <c r="B26" s="613" t="s">
        <v>715</v>
      </c>
      <c r="C26" s="1080">
        <v>0.045</v>
      </c>
      <c r="D26" s="1081"/>
      <c r="E26" s="1082">
        <v>0.04125</v>
      </c>
      <c r="F26" s="1081"/>
      <c r="G26" s="1081"/>
      <c r="H26" s="1080">
        <v>0.0408</v>
      </c>
      <c r="I26" s="1081"/>
      <c r="J26" s="936"/>
    </row>
    <row r="27" spans="1:10" ht="12.75">
      <c r="A27" s="927">
        <f>A26+1</f>
        <v>16</v>
      </c>
      <c r="B27" s="613" t="s">
        <v>716</v>
      </c>
      <c r="C27" s="1083">
        <v>100</v>
      </c>
      <c r="D27" s="1084"/>
      <c r="E27" s="1083">
        <v>100</v>
      </c>
      <c r="F27" s="1084"/>
      <c r="G27" s="1084"/>
      <c r="H27" s="1083">
        <v>100</v>
      </c>
      <c r="I27" s="1084"/>
      <c r="J27" s="937"/>
    </row>
    <row r="28" spans="1:9" ht="12.75">
      <c r="A28" s="927">
        <f>A27+1</f>
        <v>17</v>
      </c>
      <c r="B28" s="613" t="s">
        <v>717</v>
      </c>
      <c r="C28" s="1078">
        <v>0</v>
      </c>
      <c r="D28" s="1085"/>
      <c r="E28" s="1078">
        <v>0</v>
      </c>
      <c r="F28" s="1085"/>
      <c r="G28" s="1085"/>
      <c r="H28" s="1078">
        <v>0</v>
      </c>
      <c r="I28" s="1085"/>
    </row>
    <row r="29" spans="1:10" ht="12.75">
      <c r="A29" s="927">
        <f>A28+1</f>
        <v>18</v>
      </c>
      <c r="B29" s="613" t="str">
        <f>"Monetary Value (Ln "&amp;A27&amp;" * Ln "&amp;A28&amp;")"</f>
        <v>Monetary Value (Ln 16 * Ln 17)</v>
      </c>
      <c r="C29" s="411">
        <f aca="true" t="shared" si="4" ref="C29:I29">C27*C28</f>
        <v>0</v>
      </c>
      <c r="D29" s="411"/>
      <c r="E29" s="411">
        <f t="shared" si="4"/>
        <v>0</v>
      </c>
      <c r="F29" s="411">
        <f t="shared" si="4"/>
        <v>0</v>
      </c>
      <c r="G29" s="411">
        <f t="shared" si="4"/>
        <v>0</v>
      </c>
      <c r="H29" s="411">
        <f t="shared" si="4"/>
        <v>0</v>
      </c>
      <c r="I29" s="411">
        <f t="shared" si="4"/>
        <v>0</v>
      </c>
      <c r="J29" s="934">
        <f>SUM(C29:I29)</f>
        <v>0</v>
      </c>
    </row>
    <row r="30" spans="1:10" ht="12.75">
      <c r="A30" s="927">
        <f>A29+1</f>
        <v>19</v>
      </c>
      <c r="B30" s="613" t="str">
        <f>"Dividend Amount (Ln "&amp;A26&amp;" * Ln "&amp;A29&amp;")"</f>
        <v>Dividend Amount (Ln 15 * Ln 18)</v>
      </c>
      <c r="C30" s="411">
        <f aca="true" t="shared" si="5" ref="C30:I30">C29*C26</f>
        <v>0</v>
      </c>
      <c r="D30" s="411"/>
      <c r="E30" s="411">
        <f t="shared" si="5"/>
        <v>0</v>
      </c>
      <c r="F30" s="411">
        <f t="shared" si="5"/>
        <v>0</v>
      </c>
      <c r="G30" s="411">
        <f t="shared" si="5"/>
        <v>0</v>
      </c>
      <c r="H30" s="411">
        <f t="shared" si="5"/>
        <v>0</v>
      </c>
      <c r="I30" s="411">
        <f t="shared" si="5"/>
        <v>0</v>
      </c>
      <c r="J30" s="934">
        <f>SUM(C30:I30)</f>
        <v>0</v>
      </c>
    </row>
    <row r="32" spans="1:9" ht="12.75">
      <c r="A32" s="927">
        <f>A30+1</f>
        <v>20</v>
      </c>
      <c r="B32" s="613" t="s">
        <v>715</v>
      </c>
      <c r="C32" s="1081"/>
      <c r="D32" s="1081"/>
      <c r="E32" s="1080">
        <v>0.0412</v>
      </c>
      <c r="F32" s="1081"/>
      <c r="G32" s="1081"/>
      <c r="H32" s="1080">
        <v>0.042</v>
      </c>
      <c r="I32" s="1081"/>
    </row>
    <row r="33" spans="1:9" ht="12.75">
      <c r="A33" s="927">
        <f>A32+1</f>
        <v>21</v>
      </c>
      <c r="B33" s="613" t="s">
        <v>716</v>
      </c>
      <c r="C33" s="1084"/>
      <c r="D33" s="1084"/>
      <c r="E33" s="1083">
        <v>100</v>
      </c>
      <c r="F33" s="1084"/>
      <c r="G33" s="1084"/>
      <c r="H33" s="1083">
        <v>100</v>
      </c>
      <c r="I33" s="1084"/>
    </row>
    <row r="34" spans="1:9" ht="12.75">
      <c r="A34" s="927">
        <f>A33+1</f>
        <v>22</v>
      </c>
      <c r="B34" s="613" t="s">
        <v>717</v>
      </c>
      <c r="C34" s="1085"/>
      <c r="D34" s="1085"/>
      <c r="E34" s="1078">
        <v>0</v>
      </c>
      <c r="F34" s="1085"/>
      <c r="G34" s="1085"/>
      <c r="H34" s="1078">
        <v>0</v>
      </c>
      <c r="I34" s="1085"/>
    </row>
    <row r="35" spans="1:10" ht="12.75">
      <c r="A35" s="927">
        <f>A34+1</f>
        <v>23</v>
      </c>
      <c r="B35" s="613" t="str">
        <f>"Monetary Value (Ln "&amp;A33&amp;" * Ln "&amp;A34&amp;")"</f>
        <v>Monetary Value (Ln 21 * Ln 22)</v>
      </c>
      <c r="C35" s="411">
        <f aca="true" t="shared" si="6" ref="C35:I35">C33*C34</f>
        <v>0</v>
      </c>
      <c r="D35" s="411"/>
      <c r="E35" s="411">
        <f t="shared" si="6"/>
        <v>0</v>
      </c>
      <c r="F35" s="411">
        <f t="shared" si="6"/>
        <v>0</v>
      </c>
      <c r="G35" s="411">
        <f t="shared" si="6"/>
        <v>0</v>
      </c>
      <c r="H35" s="411">
        <f t="shared" si="6"/>
        <v>0</v>
      </c>
      <c r="I35" s="411">
        <f t="shared" si="6"/>
        <v>0</v>
      </c>
      <c r="J35" s="934">
        <f>SUM(C35:I35)</f>
        <v>0</v>
      </c>
    </row>
    <row r="36" spans="1:10" ht="12.75">
      <c r="A36" s="927">
        <f>A35+1</f>
        <v>24</v>
      </c>
      <c r="B36" s="613" t="str">
        <f>"Dividend Amount (Ln "&amp;A32&amp;" * Ln "&amp;A35&amp;")"</f>
        <v>Dividend Amount (Ln 20 * Ln 23)</v>
      </c>
      <c r="C36" s="411">
        <f aca="true" t="shared" si="7" ref="C36:I36">C35*C32</f>
        <v>0</v>
      </c>
      <c r="D36" s="411"/>
      <c r="E36" s="411">
        <f t="shared" si="7"/>
        <v>0</v>
      </c>
      <c r="F36" s="411">
        <f t="shared" si="7"/>
        <v>0</v>
      </c>
      <c r="G36" s="411">
        <f t="shared" si="7"/>
        <v>0</v>
      </c>
      <c r="H36" s="411">
        <f t="shared" si="7"/>
        <v>0</v>
      </c>
      <c r="I36" s="411">
        <f t="shared" si="7"/>
        <v>0</v>
      </c>
      <c r="J36" s="934">
        <f>SUM(C36:I36)</f>
        <v>0</v>
      </c>
    </row>
    <row r="38" spans="1:9" ht="12.75">
      <c r="A38" s="927">
        <f>A36+1</f>
        <v>25</v>
      </c>
      <c r="B38" s="613" t="s">
        <v>715</v>
      </c>
      <c r="C38" s="1081"/>
      <c r="D38" s="1081"/>
      <c r="E38" s="1080">
        <v>0.0456</v>
      </c>
      <c r="F38" s="1081"/>
      <c r="G38" s="1081"/>
      <c r="H38" s="1086">
        <v>0.044</v>
      </c>
      <c r="I38" s="1081"/>
    </row>
    <row r="39" spans="1:9" ht="12.75">
      <c r="A39" s="927">
        <f>A38+1</f>
        <v>26</v>
      </c>
      <c r="B39" s="613" t="s">
        <v>716</v>
      </c>
      <c r="C39" s="1084"/>
      <c r="D39" s="1084"/>
      <c r="E39" s="1083">
        <v>100</v>
      </c>
      <c r="F39" s="1084"/>
      <c r="G39" s="1084"/>
      <c r="H39" s="1087">
        <v>100</v>
      </c>
      <c r="I39" s="1084"/>
    </row>
    <row r="40" spans="1:9" ht="12.75">
      <c r="A40" s="927">
        <f>A39+1</f>
        <v>27</v>
      </c>
      <c r="B40" s="613" t="s">
        <v>717</v>
      </c>
      <c r="C40" s="1085"/>
      <c r="D40" s="1085"/>
      <c r="E40" s="1078">
        <v>0</v>
      </c>
      <c r="F40" s="1085"/>
      <c r="G40" s="1085"/>
      <c r="H40" s="1078">
        <v>0</v>
      </c>
      <c r="I40" s="1085"/>
    </row>
    <row r="41" spans="1:10" ht="12.75">
      <c r="A41" s="927">
        <f>A40+1</f>
        <v>28</v>
      </c>
      <c r="B41" s="613" t="str">
        <f>"Monetary Value (Ln "&amp;A39&amp;" * Ln "&amp;A40&amp;")"</f>
        <v>Monetary Value (Ln 26 * Ln 27)</v>
      </c>
      <c r="C41" s="411">
        <f aca="true" t="shared" si="8" ref="C41:I41">C39*C40</f>
        <v>0</v>
      </c>
      <c r="D41" s="411"/>
      <c r="E41" s="411">
        <f t="shared" si="8"/>
        <v>0</v>
      </c>
      <c r="F41" s="411">
        <f t="shared" si="8"/>
        <v>0</v>
      </c>
      <c r="G41" s="411">
        <f t="shared" si="8"/>
        <v>0</v>
      </c>
      <c r="H41" s="411">
        <f t="shared" si="8"/>
        <v>0</v>
      </c>
      <c r="I41" s="411">
        <f t="shared" si="8"/>
        <v>0</v>
      </c>
      <c r="J41" s="934">
        <f>SUM(C41:I41)</f>
        <v>0</v>
      </c>
    </row>
    <row r="42" spans="1:10" ht="12.75">
      <c r="A42" s="927">
        <f>A41+1</f>
        <v>29</v>
      </c>
      <c r="B42" s="613" t="str">
        <f>"Dividend Amount (Ln "&amp;A38&amp;" * Ln "&amp;A41&amp;")"</f>
        <v>Dividend Amount (Ln 25 * Ln 28)</v>
      </c>
      <c r="C42" s="411">
        <f aca="true" t="shared" si="9" ref="C42:I42">C41*C38</f>
        <v>0</v>
      </c>
      <c r="D42" s="411"/>
      <c r="E42" s="411">
        <f t="shared" si="9"/>
        <v>0</v>
      </c>
      <c r="F42" s="411">
        <f t="shared" si="9"/>
        <v>0</v>
      </c>
      <c r="G42" s="411">
        <f t="shared" si="9"/>
        <v>0</v>
      </c>
      <c r="H42" s="411">
        <f t="shared" si="9"/>
        <v>0</v>
      </c>
      <c r="I42" s="411">
        <f t="shared" si="9"/>
        <v>0</v>
      </c>
      <c r="J42" s="934">
        <f>SUM(C42:I42)</f>
        <v>0</v>
      </c>
    </row>
    <row r="44" spans="1:9" ht="12.75">
      <c r="A44" s="927">
        <f>A42+1</f>
        <v>30</v>
      </c>
      <c r="B44" s="613" t="s">
        <v>715</v>
      </c>
      <c r="C44" s="1081"/>
      <c r="D44" s="1081"/>
      <c r="E44" s="1080"/>
      <c r="F44" s="1081"/>
      <c r="G44" s="1081"/>
      <c r="H44" s="1086">
        <v>0.045</v>
      </c>
      <c r="I44" s="1081"/>
    </row>
    <row r="45" spans="1:9" ht="12.75">
      <c r="A45" s="927">
        <f>A44+1</f>
        <v>31</v>
      </c>
      <c r="B45" s="613" t="s">
        <v>716</v>
      </c>
      <c r="C45" s="1084"/>
      <c r="D45" s="1084"/>
      <c r="E45" s="1083"/>
      <c r="F45" s="1084"/>
      <c r="G45" s="1084"/>
      <c r="H45" s="1087">
        <v>100</v>
      </c>
      <c r="I45" s="1084"/>
    </row>
    <row r="46" spans="1:9" ht="12.75">
      <c r="A46" s="927">
        <f>A45+1</f>
        <v>32</v>
      </c>
      <c r="B46" s="613" t="s">
        <v>717</v>
      </c>
      <c r="C46" s="1085"/>
      <c r="D46" s="1085"/>
      <c r="E46" s="1078"/>
      <c r="F46" s="1085"/>
      <c r="G46" s="1085"/>
      <c r="H46" s="1078">
        <v>0</v>
      </c>
      <c r="I46" s="1085"/>
    </row>
    <row r="47" spans="1:10" ht="12.75">
      <c r="A47" s="927">
        <f>A46+1</f>
        <v>33</v>
      </c>
      <c r="B47" s="613" t="str">
        <f>"Monetary Value (Ln "&amp;A45&amp;" * Ln "&amp;A46&amp;")"</f>
        <v>Monetary Value (Ln 31 * Ln 32)</v>
      </c>
      <c r="C47" s="411">
        <f aca="true" t="shared" si="10" ref="C47:I47">C45*C46</f>
        <v>0</v>
      </c>
      <c r="D47" s="411"/>
      <c r="E47" s="411">
        <f t="shared" si="10"/>
        <v>0</v>
      </c>
      <c r="F47" s="411">
        <f t="shared" si="10"/>
        <v>0</v>
      </c>
      <c r="G47" s="411">
        <f t="shared" si="10"/>
        <v>0</v>
      </c>
      <c r="H47" s="411">
        <f t="shared" si="10"/>
        <v>0</v>
      </c>
      <c r="I47" s="411">
        <f t="shared" si="10"/>
        <v>0</v>
      </c>
      <c r="J47" s="934">
        <f>SUM(C47:I47)</f>
        <v>0</v>
      </c>
    </row>
    <row r="48" spans="1:10" ht="12.75">
      <c r="A48" s="927">
        <f>A47+1</f>
        <v>34</v>
      </c>
      <c r="B48" s="613" t="str">
        <f>"Dividend Amount (Ln "&amp;A44&amp;" * Ln "&amp;A47&amp;")"</f>
        <v>Dividend Amount (Ln 30 * Ln 33)</v>
      </c>
      <c r="C48" s="411">
        <f aca="true" t="shared" si="11" ref="C48:I48">C47*C44</f>
        <v>0</v>
      </c>
      <c r="D48" s="411"/>
      <c r="E48" s="411">
        <f t="shared" si="11"/>
        <v>0</v>
      </c>
      <c r="F48" s="411">
        <f t="shared" si="11"/>
        <v>0</v>
      </c>
      <c r="G48" s="411">
        <f t="shared" si="11"/>
        <v>0</v>
      </c>
      <c r="H48" s="411">
        <f t="shared" si="11"/>
        <v>0</v>
      </c>
      <c r="I48" s="411">
        <f t="shared" si="11"/>
        <v>0</v>
      </c>
      <c r="J48" s="934">
        <f>SUM(C48:I48)</f>
        <v>0</v>
      </c>
    </row>
    <row r="49" ht="12.75">
      <c r="B49" s="613"/>
    </row>
    <row r="50" spans="1:10" ht="12.75">
      <c r="A50" s="927">
        <f>A48+1</f>
        <v>35</v>
      </c>
      <c r="B50" s="660" t="str">
        <f>"Preferred Stock (Lns "&amp;A29&amp;", "&amp;A35&amp;", "&amp;A41&amp;","&amp;A47&amp;")"</f>
        <v>Preferred Stock (Lns 18, 23, 28,33)</v>
      </c>
      <c r="C50" s="934">
        <f aca="true" t="shared" si="12" ref="C50:I51">C29+C35+C41+C47</f>
        <v>0</v>
      </c>
      <c r="D50" s="934"/>
      <c r="E50" s="934">
        <f t="shared" si="12"/>
        <v>0</v>
      </c>
      <c r="F50" s="934">
        <f t="shared" si="12"/>
        <v>0</v>
      </c>
      <c r="G50" s="934">
        <f t="shared" si="12"/>
        <v>0</v>
      </c>
      <c r="H50" s="934">
        <f t="shared" si="12"/>
        <v>0</v>
      </c>
      <c r="I50" s="934">
        <f t="shared" si="12"/>
        <v>0</v>
      </c>
      <c r="J50" s="934">
        <f>SUM(C50:I50)</f>
        <v>0</v>
      </c>
    </row>
    <row r="51" spans="1:10" ht="12.75">
      <c r="A51" s="927">
        <f>A50+1</f>
        <v>36</v>
      </c>
      <c r="B51" s="660" t="str">
        <f>"Preferred Dividends (Lns "&amp;A30&amp;", "&amp;A36&amp;", "&amp;A42&amp;","&amp;A48&amp;")"</f>
        <v>Preferred Dividends (Lns 19, 24, 29,34)</v>
      </c>
      <c r="C51" s="934">
        <f t="shared" si="12"/>
        <v>0</v>
      </c>
      <c r="D51" s="934"/>
      <c r="E51" s="934">
        <f t="shared" si="12"/>
        <v>0</v>
      </c>
      <c r="F51" s="934">
        <f t="shared" si="12"/>
        <v>0</v>
      </c>
      <c r="G51" s="934">
        <f t="shared" si="12"/>
        <v>0</v>
      </c>
      <c r="H51" s="934">
        <f t="shared" si="12"/>
        <v>0</v>
      </c>
      <c r="I51" s="934">
        <f t="shared" si="12"/>
        <v>0</v>
      </c>
      <c r="J51" s="934">
        <f>SUM(C51:I51)</f>
        <v>0</v>
      </c>
    </row>
    <row r="52" ht="12.75">
      <c r="B52" s="993"/>
    </row>
    <row r="53" ht="15">
      <c r="A53" s="658" t="s">
        <v>718</v>
      </c>
    </row>
    <row r="54" spans="1:10" ht="12.75">
      <c r="A54" s="927">
        <f>A51+1</f>
        <v>37</v>
      </c>
      <c r="B54" s="659" t="s">
        <v>719</v>
      </c>
      <c r="C54" s="1079">
        <v>3366927928</v>
      </c>
      <c r="D54" s="1079"/>
      <c r="E54" s="1079">
        <v>1953950018</v>
      </c>
      <c r="F54" s="1079">
        <v>663642997</v>
      </c>
      <c r="G54" s="1079">
        <v>31277290</v>
      </c>
      <c r="H54" s="1079">
        <v>1980209844</v>
      </c>
      <c r="I54" s="1079">
        <v>98472987</v>
      </c>
      <c r="J54" s="934">
        <f>SUM(C54:I54)</f>
        <v>8094481064</v>
      </c>
    </row>
    <row r="55" spans="1:10" ht="12.75">
      <c r="A55" s="927">
        <f>A54+1</f>
        <v>38</v>
      </c>
      <c r="B55" s="659" t="str">
        <f>"Less: Preferred Stock (Ln "&amp;A50&amp;" Above)"</f>
        <v>Less: Preferred Stock (Ln 35 Above)</v>
      </c>
      <c r="C55" s="938">
        <f aca="true" t="shared" si="13" ref="C55:I55">C50</f>
        <v>0</v>
      </c>
      <c r="D55" s="938"/>
      <c r="E55" s="938">
        <f t="shared" si="13"/>
        <v>0</v>
      </c>
      <c r="F55" s="938">
        <f t="shared" si="13"/>
        <v>0</v>
      </c>
      <c r="G55" s="938">
        <f t="shared" si="13"/>
        <v>0</v>
      </c>
      <c r="H55" s="938">
        <f t="shared" si="13"/>
        <v>0</v>
      </c>
      <c r="I55" s="938">
        <f t="shared" si="13"/>
        <v>0</v>
      </c>
      <c r="J55" s="934">
        <f>SUM(C55:I55)</f>
        <v>0</v>
      </c>
    </row>
    <row r="56" spans="1:10" ht="12.75">
      <c r="A56" s="927">
        <f>A55+1</f>
        <v>39</v>
      </c>
      <c r="B56" s="659" t="s">
        <v>720</v>
      </c>
      <c r="C56" s="1076">
        <v>1649787</v>
      </c>
      <c r="D56" s="1076"/>
      <c r="E56" s="1076">
        <v>-33162</v>
      </c>
      <c r="F56" s="1076">
        <v>0</v>
      </c>
      <c r="G56" s="1076">
        <v>0</v>
      </c>
      <c r="H56" s="1076">
        <v>4915704</v>
      </c>
      <c r="I56" s="1076">
        <v>0</v>
      </c>
      <c r="J56" s="934">
        <f>SUM(C56:I56)</f>
        <v>6532329</v>
      </c>
    </row>
    <row r="57" spans="1:10" ht="12.75">
      <c r="A57" s="927">
        <f>A56+1</f>
        <v>40</v>
      </c>
      <c r="B57" s="659" t="s">
        <v>721</v>
      </c>
      <c r="C57" s="1077">
        <v>5031962</v>
      </c>
      <c r="D57" s="1077"/>
      <c r="E57" s="1077">
        <v>-14359735</v>
      </c>
      <c r="F57" s="1077">
        <v>-7335603</v>
      </c>
      <c r="G57" s="1077">
        <v>0</v>
      </c>
      <c r="H57" s="1077">
        <v>5601842</v>
      </c>
      <c r="I57" s="1077">
        <v>772181</v>
      </c>
      <c r="J57" s="939">
        <f>SUM(C57:I57)</f>
        <v>-10289353</v>
      </c>
    </row>
    <row r="58" spans="1:10" ht="12.75">
      <c r="A58" s="927">
        <f>A57+1</f>
        <v>41</v>
      </c>
      <c r="B58" s="664" t="s">
        <v>722</v>
      </c>
      <c r="C58" s="940">
        <f aca="true" t="shared" si="14" ref="C58:J58">C54-C55-C56-C57</f>
        <v>3360246179</v>
      </c>
      <c r="D58" s="940"/>
      <c r="E58" s="940">
        <f t="shared" si="14"/>
        <v>1968342915</v>
      </c>
      <c r="F58" s="940">
        <f t="shared" si="14"/>
        <v>670978600</v>
      </c>
      <c r="G58" s="940">
        <f t="shared" si="14"/>
        <v>31277290</v>
      </c>
      <c r="H58" s="940">
        <f t="shared" si="14"/>
        <v>1969692298</v>
      </c>
      <c r="I58" s="940">
        <f t="shared" si="14"/>
        <v>97700806</v>
      </c>
      <c r="J58" s="940">
        <f t="shared" si="14"/>
        <v>8098238088</v>
      </c>
    </row>
    <row r="60" ht="15">
      <c r="A60" s="658" t="s">
        <v>723</v>
      </c>
    </row>
    <row r="61" spans="1:10" ht="12.75">
      <c r="A61" s="927">
        <f>A58+1</f>
        <v>42</v>
      </c>
      <c r="B61" s="150" t="str">
        <f>"Long Term Debt (Ln "&amp;A12&amp;" Above)"</f>
        <v>Long Term Debt (Ln 6 Above)</v>
      </c>
      <c r="C61" s="934">
        <f aca="true" t="shared" si="15" ref="C61:J61">C12</f>
        <v>3988444344</v>
      </c>
      <c r="D61" s="934"/>
      <c r="E61" s="934">
        <f t="shared" si="15"/>
        <v>1588907909</v>
      </c>
      <c r="F61" s="934">
        <f t="shared" si="15"/>
        <v>820000000</v>
      </c>
      <c r="G61" s="934">
        <f t="shared" si="15"/>
        <v>20000000</v>
      </c>
      <c r="H61" s="934">
        <f t="shared" si="15"/>
        <v>2069619994</v>
      </c>
      <c r="I61" s="934">
        <f t="shared" si="15"/>
        <v>25000000</v>
      </c>
      <c r="J61" s="934">
        <f t="shared" si="15"/>
        <v>8511972247</v>
      </c>
    </row>
    <row r="62" spans="1:10" ht="12.75">
      <c r="A62" s="927">
        <f>A61+1</f>
        <v>43</v>
      </c>
      <c r="B62" s="150" t="str">
        <f>"Preferred Stock (Ln "&amp;A50&amp;" Above)"</f>
        <v>Preferred Stock (Ln 35 Above)</v>
      </c>
      <c r="C62" s="934">
        <f aca="true" t="shared" si="16" ref="C62:J62">C50</f>
        <v>0</v>
      </c>
      <c r="D62" s="934"/>
      <c r="E62" s="934">
        <f t="shared" si="16"/>
        <v>0</v>
      </c>
      <c r="F62" s="934">
        <f t="shared" si="16"/>
        <v>0</v>
      </c>
      <c r="G62" s="934">
        <f t="shared" si="16"/>
        <v>0</v>
      </c>
      <c r="H62" s="934">
        <f t="shared" si="16"/>
        <v>0</v>
      </c>
      <c r="I62" s="934">
        <f t="shared" si="16"/>
        <v>0</v>
      </c>
      <c r="J62" s="934">
        <f t="shared" si="16"/>
        <v>0</v>
      </c>
    </row>
    <row r="63" spans="1:10" ht="12.75">
      <c r="A63" s="927">
        <f>A62+1</f>
        <v>44</v>
      </c>
      <c r="B63" s="150" t="str">
        <f>"Common Equity (Ln "&amp;A58&amp;" Above)"</f>
        <v>Common Equity (Ln 41 Above)</v>
      </c>
      <c r="C63" s="939">
        <f aca="true" t="shared" si="17" ref="C63:J63">C58</f>
        <v>3360246179</v>
      </c>
      <c r="D63" s="939"/>
      <c r="E63" s="939">
        <f t="shared" si="17"/>
        <v>1968342915</v>
      </c>
      <c r="F63" s="939">
        <f t="shared" si="17"/>
        <v>670978600</v>
      </c>
      <c r="G63" s="939">
        <f t="shared" si="17"/>
        <v>31277290</v>
      </c>
      <c r="H63" s="939">
        <f t="shared" si="17"/>
        <v>1969692298</v>
      </c>
      <c r="I63" s="939">
        <f t="shared" si="17"/>
        <v>97700806</v>
      </c>
      <c r="J63" s="939">
        <f t="shared" si="17"/>
        <v>8098238088</v>
      </c>
    </row>
    <row r="64" spans="1:10" ht="12.75">
      <c r="A64" s="927">
        <f>A63+1</f>
        <v>45</v>
      </c>
      <c r="B64" s="927" t="s">
        <v>724</v>
      </c>
      <c r="C64" s="934">
        <f aca="true" t="shared" si="18" ref="C64:J64">SUM(C61:C63)</f>
        <v>7348690523</v>
      </c>
      <c r="D64" s="934"/>
      <c r="E64" s="934">
        <f t="shared" si="18"/>
        <v>3557250824</v>
      </c>
      <c r="F64" s="934">
        <f t="shared" si="18"/>
        <v>1490978600</v>
      </c>
      <c r="G64" s="934">
        <f t="shared" si="18"/>
        <v>51277290</v>
      </c>
      <c r="H64" s="934">
        <f t="shared" si="18"/>
        <v>4039312292</v>
      </c>
      <c r="I64" s="934">
        <f t="shared" si="18"/>
        <v>122700806</v>
      </c>
      <c r="J64" s="934">
        <f t="shared" si="18"/>
        <v>16610210335</v>
      </c>
    </row>
    <row r="66" spans="1:10" ht="12.75">
      <c r="A66" s="927">
        <f>A64+1</f>
        <v>46</v>
      </c>
      <c r="B66" s="150" t="str">
        <f>"LTD Capital Shares (Ln "&amp;A61&amp;" / Ln "&amp;A64&amp;")"</f>
        <v>LTD Capital Shares (Ln 42 / Ln 45)</v>
      </c>
      <c r="C66" s="941">
        <f aca="true" t="shared" si="19" ref="C66:J66">C61/C64</f>
        <v>0.5427421840009359</v>
      </c>
      <c r="D66" s="941"/>
      <c r="E66" s="941">
        <f t="shared" si="19"/>
        <v>0.4466673809673422</v>
      </c>
      <c r="F66" s="941">
        <f t="shared" si="19"/>
        <v>0.549974359122257</v>
      </c>
      <c r="G66" s="941">
        <f t="shared" si="19"/>
        <v>0.3900362129121878</v>
      </c>
      <c r="H66" s="941">
        <f t="shared" si="19"/>
        <v>0.5123693946860596</v>
      </c>
      <c r="I66" s="941">
        <f t="shared" si="19"/>
        <v>0.20374764286389446</v>
      </c>
      <c r="J66" s="941">
        <f t="shared" si="19"/>
        <v>0.5124542119171184</v>
      </c>
    </row>
    <row r="67" spans="1:10" ht="12.75">
      <c r="A67" s="927">
        <f>A66+1</f>
        <v>47</v>
      </c>
      <c r="B67" s="150" t="str">
        <f>"Preferred Stock Capital Shares (Ln "&amp;A62&amp;" / Ln "&amp;A64&amp;")"</f>
        <v>Preferred Stock Capital Shares (Ln 43 / Ln 45)</v>
      </c>
      <c r="C67" s="941">
        <f aca="true" t="shared" si="20" ref="C67:J67">C62/C64</f>
        <v>0</v>
      </c>
      <c r="D67" s="941"/>
      <c r="E67" s="941">
        <f t="shared" si="20"/>
        <v>0</v>
      </c>
      <c r="F67" s="941">
        <f t="shared" si="20"/>
        <v>0</v>
      </c>
      <c r="G67" s="941">
        <f t="shared" si="20"/>
        <v>0</v>
      </c>
      <c r="H67" s="941">
        <f t="shared" si="20"/>
        <v>0</v>
      </c>
      <c r="I67" s="941">
        <f t="shared" si="20"/>
        <v>0</v>
      </c>
      <c r="J67" s="941">
        <f t="shared" si="20"/>
        <v>0</v>
      </c>
    </row>
    <row r="68" spans="1:10" ht="12.75">
      <c r="A68" s="942">
        <f>A67+1</f>
        <v>48</v>
      </c>
      <c r="B68" s="150" t="str">
        <f>"Common Equity Capital Shares (Ln "&amp;A63&amp;" / Ln "&amp;A64&amp;")"</f>
        <v>Common Equity Capital Shares (Ln 44 / Ln 45)</v>
      </c>
      <c r="C68" s="829">
        <f aca="true" t="shared" si="21" ref="C68:J68">C63/C64</f>
        <v>0.45725781599906407</v>
      </c>
      <c r="D68" s="829"/>
      <c r="E68" s="829">
        <f t="shared" si="21"/>
        <v>0.5533326190326577</v>
      </c>
      <c r="F68" s="829">
        <f t="shared" si="21"/>
        <v>0.450025640877743</v>
      </c>
      <c r="G68" s="829">
        <f t="shared" si="21"/>
        <v>0.6099637870878122</v>
      </c>
      <c r="H68" s="829">
        <f t="shared" si="21"/>
        <v>0.4876306053139404</v>
      </c>
      <c r="I68" s="829">
        <f t="shared" si="21"/>
        <v>0.7962523571361055</v>
      </c>
      <c r="J68" s="829">
        <f t="shared" si="21"/>
        <v>0.4875457880828816</v>
      </c>
    </row>
    <row r="69" spans="1:10" ht="12.75">
      <c r="A69" s="942"/>
      <c r="B69" s="150"/>
      <c r="C69" s="829"/>
      <c r="D69" s="829"/>
      <c r="E69" s="829"/>
      <c r="F69" s="829"/>
      <c r="G69" s="829"/>
      <c r="H69" s="829"/>
      <c r="I69" s="829"/>
      <c r="J69" s="829"/>
    </row>
    <row r="70" spans="1:10" ht="12.75">
      <c r="A70" s="942">
        <f>A68+1</f>
        <v>49</v>
      </c>
      <c r="B70" s="660" t="s">
        <v>725</v>
      </c>
      <c r="C70" s="1088">
        <v>1</v>
      </c>
      <c r="D70" s="1088"/>
      <c r="E70" s="1088">
        <v>1</v>
      </c>
      <c r="F70" s="1088">
        <v>1</v>
      </c>
      <c r="G70" s="1088">
        <v>1</v>
      </c>
      <c r="H70" s="1088">
        <v>0.51</v>
      </c>
      <c r="I70" s="1088">
        <v>1</v>
      </c>
      <c r="J70" s="1088">
        <v>0.5</v>
      </c>
    </row>
    <row r="71" spans="1:10" ht="12.75">
      <c r="A71" s="942"/>
      <c r="B71" s="150"/>
      <c r="C71" s="829"/>
      <c r="D71" s="829"/>
      <c r="E71" s="829"/>
      <c r="F71" s="829"/>
      <c r="G71" s="829"/>
      <c r="H71" s="829"/>
      <c r="I71" s="829"/>
      <c r="J71" s="829"/>
    </row>
    <row r="72" spans="1:10" ht="12.75">
      <c r="A72" s="942">
        <f>A70+1</f>
        <v>50</v>
      </c>
      <c r="B72" s="150" t="s">
        <v>726</v>
      </c>
      <c r="C72" s="829">
        <f aca="true" t="shared" si="22" ref="C72:I72">IF(C68&gt;C70,1-C73-C74,C66)</f>
        <v>0.5427421840009359</v>
      </c>
      <c r="D72" s="829"/>
      <c r="E72" s="829">
        <f t="shared" si="22"/>
        <v>0.4466673809673422</v>
      </c>
      <c r="F72" s="829">
        <f t="shared" si="22"/>
        <v>0.549974359122257</v>
      </c>
      <c r="G72" s="829">
        <f t="shared" si="22"/>
        <v>0.3900362129121878</v>
      </c>
      <c r="H72" s="829">
        <f t="shared" si="22"/>
        <v>0.5123693946860596</v>
      </c>
      <c r="I72" s="829">
        <f t="shared" si="22"/>
        <v>0.20374764286389446</v>
      </c>
      <c r="J72" s="829">
        <f>IF(J74&gt;J70,1-J73-J74,SUMPRODUCT(C72:I72,C64:I64)/J64)</f>
        <v>0.5124542119171184</v>
      </c>
    </row>
    <row r="73" spans="1:10" ht="12.75">
      <c r="A73" s="942">
        <f>A72+1</f>
        <v>51</v>
      </c>
      <c r="B73" s="150" t="s">
        <v>727</v>
      </c>
      <c r="C73" s="829">
        <f aca="true" t="shared" si="23" ref="C73:J73">C67</f>
        <v>0</v>
      </c>
      <c r="D73" s="829"/>
      <c r="E73" s="829">
        <f t="shared" si="23"/>
        <v>0</v>
      </c>
      <c r="F73" s="829">
        <f t="shared" si="23"/>
        <v>0</v>
      </c>
      <c r="G73" s="829">
        <f t="shared" si="23"/>
        <v>0</v>
      </c>
      <c r="H73" s="829">
        <f t="shared" si="23"/>
        <v>0</v>
      </c>
      <c r="I73" s="829">
        <f t="shared" si="23"/>
        <v>0</v>
      </c>
      <c r="J73" s="829">
        <f t="shared" si="23"/>
        <v>0</v>
      </c>
    </row>
    <row r="74" spans="1:10" ht="12.75">
      <c r="A74" s="942">
        <f>A73+1</f>
        <v>52</v>
      </c>
      <c r="B74" s="150" t="s">
        <v>728</v>
      </c>
      <c r="C74" s="829">
        <f aca="true" t="shared" si="24" ref="C74:I74">IF(C68&gt;C70,C70,C68)</f>
        <v>0.45725781599906407</v>
      </c>
      <c r="D74" s="829"/>
      <c r="E74" s="829">
        <f t="shared" si="24"/>
        <v>0.5533326190326577</v>
      </c>
      <c r="F74" s="829">
        <f t="shared" si="24"/>
        <v>0.450025640877743</v>
      </c>
      <c r="G74" s="829">
        <f t="shared" si="24"/>
        <v>0.6099637870878122</v>
      </c>
      <c r="H74" s="829">
        <f t="shared" si="24"/>
        <v>0.4876306053139404</v>
      </c>
      <c r="I74" s="829">
        <f t="shared" si="24"/>
        <v>0.7962523571361055</v>
      </c>
      <c r="J74" s="829">
        <f>IF(SUMPRODUCT(C74:I74,C64:I64)/J64&gt;J70,J70,SUMPRODUCT(C74:I74,C64:I64)/J64)</f>
        <v>0.4875457880828816</v>
      </c>
    </row>
    <row r="75" spans="2:10" ht="12.75">
      <c r="B75" s="150"/>
      <c r="C75" s="941"/>
      <c r="D75" s="941"/>
      <c r="E75" s="941"/>
      <c r="F75" s="941"/>
      <c r="G75" s="941"/>
      <c r="H75" s="941"/>
      <c r="I75" s="941"/>
      <c r="J75" s="941"/>
    </row>
    <row r="76" ht="15">
      <c r="A76" s="658" t="s">
        <v>729</v>
      </c>
    </row>
    <row r="77" spans="1:10" ht="12.75">
      <c r="A77" s="927">
        <f>A74+1</f>
        <v>53</v>
      </c>
      <c r="B77" s="150" t="str">
        <f>"LTD Capital Cost Rate (Ln "&amp;A23&amp;" / Ln "&amp;A12&amp;")"</f>
        <v>LTD Capital Cost Rate (Ln 14 / Ln 6)</v>
      </c>
      <c r="C77" s="941">
        <f aca="true" t="shared" si="25" ref="C77:J77">C23/C12</f>
        <v>0.05202795077538632</v>
      </c>
      <c r="D77" s="941"/>
      <c r="E77" s="941">
        <f t="shared" si="25"/>
        <v>0.05796487101506397</v>
      </c>
      <c r="F77" s="941">
        <f t="shared" si="25"/>
        <v>0.04768391341463415</v>
      </c>
      <c r="G77" s="941">
        <f t="shared" si="25"/>
        <v>0.0452</v>
      </c>
      <c r="H77" s="941">
        <f t="shared" si="25"/>
        <v>0.0612292364624305</v>
      </c>
      <c r="I77" s="941">
        <f t="shared" si="25"/>
        <v>0.0525</v>
      </c>
      <c r="J77" s="941">
        <f t="shared" si="25"/>
        <v>0.0549402624244717</v>
      </c>
    </row>
    <row r="78" spans="1:10" ht="12.75">
      <c r="A78" s="927">
        <f>A77+1</f>
        <v>54</v>
      </c>
      <c r="B78" s="150" t="str">
        <f>"Preferred Stock Capital Cost Rate (Ln "&amp;A51&amp;" / Ln "&amp;A50&amp;")"</f>
        <v>Preferred Stock Capital Cost Rate (Ln 36 / Ln 35)</v>
      </c>
      <c r="C78" s="941">
        <f aca="true" t="shared" si="26" ref="C78:J78">IF(C50=0,0,C51/C50)</f>
        <v>0</v>
      </c>
      <c r="D78" s="941"/>
      <c r="E78" s="941">
        <f t="shared" si="26"/>
        <v>0</v>
      </c>
      <c r="F78" s="941">
        <f t="shared" si="26"/>
        <v>0</v>
      </c>
      <c r="G78" s="941">
        <f t="shared" si="26"/>
        <v>0</v>
      </c>
      <c r="H78" s="941">
        <f t="shared" si="26"/>
        <v>0</v>
      </c>
      <c r="I78" s="941">
        <f t="shared" si="26"/>
        <v>0</v>
      </c>
      <c r="J78" s="941">
        <f t="shared" si="26"/>
        <v>0</v>
      </c>
    </row>
    <row r="79" spans="1:10" ht="12.75">
      <c r="A79" s="927">
        <f>A78+1</f>
        <v>55</v>
      </c>
      <c r="B79" s="150" t="s">
        <v>730</v>
      </c>
      <c r="C79" s="941">
        <v>0.1149</v>
      </c>
      <c r="D79" s="941"/>
      <c r="E79" s="941">
        <v>0.1149</v>
      </c>
      <c r="F79" s="941">
        <v>0.1149</v>
      </c>
      <c r="G79" s="941">
        <v>0.1149</v>
      </c>
      <c r="H79" s="941">
        <v>0.1149</v>
      </c>
      <c r="I79" s="941">
        <v>0.1149</v>
      </c>
      <c r="J79" s="941">
        <v>0.1149</v>
      </c>
    </row>
    <row r="81" ht="15">
      <c r="A81" s="658" t="s">
        <v>731</v>
      </c>
    </row>
    <row r="82" spans="1:10" ht="12.75">
      <c r="A82" s="927">
        <f>A79+1</f>
        <v>56</v>
      </c>
      <c r="B82" s="150" t="str">
        <f>"LTD Weighted Capital Cost Rate (Ln "&amp;A72&amp;" * Ln "&amp;A77&amp;")"</f>
        <v>LTD Weighted Capital Cost Rate (Ln 50 * Ln 53)</v>
      </c>
      <c r="C82" s="941">
        <f aca="true" t="shared" si="27" ref="C82:J84">C72*C77</f>
        <v>0.028237763632926356</v>
      </c>
      <c r="D82" s="941"/>
      <c r="E82" s="941">
        <f t="shared" si="27"/>
        <v>0.02589101712440843</v>
      </c>
      <c r="F82" s="941">
        <f t="shared" si="27"/>
        <v>0.02622492972065461</v>
      </c>
      <c r="G82" s="941">
        <f t="shared" si="27"/>
        <v>0.01762963682363089</v>
      </c>
      <c r="H82" s="941">
        <f t="shared" si="27"/>
        <v>0.031371986823345126</v>
      </c>
      <c r="I82" s="941">
        <f t="shared" si="27"/>
        <v>0.010696751250354459</v>
      </c>
      <c r="J82" s="941">
        <f>J72*J77</f>
        <v>0.028154368883252314</v>
      </c>
    </row>
    <row r="83" spans="1:10" ht="12.75">
      <c r="A83" s="927">
        <f>A82+1</f>
        <v>57</v>
      </c>
      <c r="B83" s="150" t="str">
        <f>"Preferred Stock Capital Cost Rate (Ln "&amp;A73&amp;" * Ln "&amp;A78&amp;")"</f>
        <v>Preferred Stock Capital Cost Rate (Ln 51 * Ln 54)</v>
      </c>
      <c r="C83" s="941">
        <f t="shared" si="27"/>
        <v>0</v>
      </c>
      <c r="D83" s="941"/>
      <c r="E83" s="941">
        <f t="shared" si="27"/>
        <v>0</v>
      </c>
      <c r="F83" s="941">
        <f t="shared" si="27"/>
        <v>0</v>
      </c>
      <c r="G83" s="941">
        <f t="shared" si="27"/>
        <v>0</v>
      </c>
      <c r="H83" s="941">
        <f t="shared" si="27"/>
        <v>0</v>
      </c>
      <c r="I83" s="941">
        <f t="shared" si="27"/>
        <v>0</v>
      </c>
      <c r="J83" s="941">
        <f t="shared" si="27"/>
        <v>0</v>
      </c>
    </row>
    <row r="84" spans="1:10" ht="12.75">
      <c r="A84" s="927">
        <f>A83+1</f>
        <v>58</v>
      </c>
      <c r="B84" s="150" t="str">
        <f>"Common Equity Capital Cost Rate (Ln "&amp;A74&amp;" * Ln "&amp;A79&amp;")"</f>
        <v>Common Equity Capital Cost Rate (Ln 52 * Ln 55)</v>
      </c>
      <c r="C84" s="943">
        <f t="shared" si="27"/>
        <v>0.05253892305829246</v>
      </c>
      <c r="D84" s="943"/>
      <c r="E84" s="943">
        <f t="shared" si="27"/>
        <v>0.06357791792685237</v>
      </c>
      <c r="F84" s="943">
        <f t="shared" si="27"/>
        <v>0.05170794613685267</v>
      </c>
      <c r="G84" s="943">
        <f t="shared" si="27"/>
        <v>0.07008483913638962</v>
      </c>
      <c r="H84" s="943">
        <f t="shared" si="27"/>
        <v>0.056028756550571754</v>
      </c>
      <c r="I84" s="943">
        <f t="shared" si="27"/>
        <v>0.09148939583493852</v>
      </c>
      <c r="J84" s="943">
        <f t="shared" si="27"/>
        <v>0.0560190110507231</v>
      </c>
    </row>
    <row r="85" spans="1:10" ht="12.75">
      <c r="A85" s="927">
        <f>A84+1</f>
        <v>59</v>
      </c>
      <c r="B85" s="933" t="s">
        <v>724</v>
      </c>
      <c r="C85" s="944">
        <f aca="true" t="shared" si="28" ref="C85:J85">SUM(C82:C84)</f>
        <v>0.08077668669121882</v>
      </c>
      <c r="D85" s="944"/>
      <c r="E85" s="944">
        <f t="shared" si="28"/>
        <v>0.0894689350512608</v>
      </c>
      <c r="F85" s="944">
        <f t="shared" si="28"/>
        <v>0.07793287585750729</v>
      </c>
      <c r="G85" s="944">
        <f t="shared" si="28"/>
        <v>0.08771447596002051</v>
      </c>
      <c r="H85" s="944">
        <f t="shared" si="28"/>
        <v>0.08740074337391687</v>
      </c>
      <c r="I85" s="944">
        <f t="shared" si="28"/>
        <v>0.10218614708529299</v>
      </c>
      <c r="J85" s="944">
        <f t="shared" si="28"/>
        <v>0.08417337993397542</v>
      </c>
    </row>
    <row r="88" spans="1:10" ht="12.75">
      <c r="A88" s="1259" t="s">
        <v>703</v>
      </c>
      <c r="B88" s="1259"/>
      <c r="C88" s="1259"/>
      <c r="D88" s="1259"/>
      <c r="E88" s="1259"/>
      <c r="F88" s="1259"/>
      <c r="G88" s="1259"/>
      <c r="H88" s="1259"/>
      <c r="I88" s="1259"/>
      <c r="J88" s="1259"/>
    </row>
    <row r="89" spans="1:10" ht="12.75">
      <c r="A89" s="1259" t="str">
        <f>"Consolidation of Operating Companies' Capital Structure @ December 31, "&amp;'Historic TCOS'!O1-1&amp;""</f>
        <v>Consolidation of Operating Companies' Capital Structure @ December 31, 2013</v>
      </c>
      <c r="B89" s="1259"/>
      <c r="C89" s="1259"/>
      <c r="D89" s="1259"/>
      <c r="E89" s="1259"/>
      <c r="F89" s="1259"/>
      <c r="G89" s="1259"/>
      <c r="H89" s="1259"/>
      <c r="I89" s="1259"/>
      <c r="J89" s="1259"/>
    </row>
    <row r="90" spans="1:10" ht="12.75">
      <c r="A90" s="1259" t="s">
        <v>177</v>
      </c>
      <c r="B90" s="1259"/>
      <c r="C90" s="1259"/>
      <c r="D90" s="1259"/>
      <c r="E90" s="1259"/>
      <c r="F90" s="1259"/>
      <c r="G90" s="1259"/>
      <c r="H90" s="1259"/>
      <c r="I90" s="1259"/>
      <c r="J90" s="1259"/>
    </row>
    <row r="91" spans="2:10" ht="12.75">
      <c r="B91" s="993"/>
      <c r="C91" s="942"/>
      <c r="D91" s="942"/>
      <c r="E91" s="942"/>
      <c r="F91" s="942"/>
      <c r="G91" s="942"/>
      <c r="H91" s="942"/>
      <c r="I91" s="942"/>
      <c r="J91" s="942"/>
    </row>
    <row r="92" spans="1:10" ht="52.5">
      <c r="A92" s="927" t="s">
        <v>608</v>
      </c>
      <c r="C92" s="928" t="s">
        <v>704</v>
      </c>
      <c r="D92" s="928"/>
      <c r="E92" s="928" t="s">
        <v>705</v>
      </c>
      <c r="F92" s="928" t="s">
        <v>706</v>
      </c>
      <c r="G92" s="928" t="s">
        <v>707</v>
      </c>
      <c r="H92" s="928" t="s">
        <v>708</v>
      </c>
      <c r="I92" s="928" t="s">
        <v>709</v>
      </c>
      <c r="J92" s="928" t="s">
        <v>710</v>
      </c>
    </row>
    <row r="93" ht="15">
      <c r="A93" s="658" t="s">
        <v>711</v>
      </c>
    </row>
    <row r="94" spans="1:10" ht="12.75">
      <c r="A94" s="927">
        <f>A85+1</f>
        <v>60</v>
      </c>
      <c r="B94" s="666" t="s">
        <v>435</v>
      </c>
      <c r="C94" s="1076">
        <v>380300000</v>
      </c>
      <c r="D94" s="1076"/>
      <c r="E94" s="1076">
        <v>0</v>
      </c>
      <c r="F94" s="1076">
        <v>0</v>
      </c>
      <c r="G94" s="1076">
        <v>0</v>
      </c>
      <c r="H94" s="1076">
        <v>0</v>
      </c>
      <c r="I94" s="1076">
        <v>0</v>
      </c>
      <c r="J94" s="370">
        <f>SUM(C94:I94)</f>
        <v>380300000</v>
      </c>
    </row>
    <row r="95" spans="1:10" ht="12.75">
      <c r="A95" s="927">
        <f>A94+1</f>
        <v>61</v>
      </c>
      <c r="B95" s="666" t="s">
        <v>436</v>
      </c>
      <c r="C95" s="1076">
        <v>0</v>
      </c>
      <c r="D95" s="1076"/>
      <c r="E95" s="1076">
        <v>40000000</v>
      </c>
      <c r="F95" s="1076">
        <v>0</v>
      </c>
      <c r="G95" s="1076">
        <v>0</v>
      </c>
      <c r="H95" s="1076">
        <v>460400000</v>
      </c>
      <c r="I95" s="1076">
        <v>0</v>
      </c>
      <c r="J95" s="370">
        <f>SUM(C95:I95)</f>
        <v>500400000</v>
      </c>
    </row>
    <row r="96" spans="1:10" ht="12.75">
      <c r="A96" s="927">
        <f>A95+1</f>
        <v>62</v>
      </c>
      <c r="B96" s="802" t="s">
        <v>831</v>
      </c>
      <c r="C96" s="1076">
        <v>86000000</v>
      </c>
      <c r="D96" s="1076"/>
      <c r="E96" s="1076">
        <v>0</v>
      </c>
      <c r="F96" s="1076">
        <v>20000000</v>
      </c>
      <c r="G96" s="1076">
        <v>20000000</v>
      </c>
      <c r="H96" s="1076">
        <v>0</v>
      </c>
      <c r="I96" s="1076">
        <v>25000000</v>
      </c>
      <c r="J96" s="370">
        <f>SUM(C96:I96)</f>
        <v>151000000</v>
      </c>
    </row>
    <row r="97" spans="1:10" ht="12.75">
      <c r="A97" s="927">
        <f>A96+1</f>
        <v>63</v>
      </c>
      <c r="B97" s="802" t="s">
        <v>322</v>
      </c>
      <c r="C97" s="1076">
        <v>3734854787</v>
      </c>
      <c r="D97" s="1076"/>
      <c r="E97" s="1076">
        <v>1640281142</v>
      </c>
      <c r="F97" s="1076">
        <v>730000000</v>
      </c>
      <c r="G97" s="1076">
        <v>0</v>
      </c>
      <c r="H97" s="1076">
        <v>2933684996</v>
      </c>
      <c r="I97" s="1076">
        <v>0</v>
      </c>
      <c r="J97" s="370">
        <f>SUM(C97:I97)</f>
        <v>9038820925</v>
      </c>
    </row>
    <row r="98" spans="1:10" ht="12.75">
      <c r="A98" s="927">
        <f>A97+1</f>
        <v>64</v>
      </c>
      <c r="B98" s="802" t="str">
        <f>"Less: Fair Value Hedges (See Note on Ln "&amp;A101&amp;" below)"</f>
        <v>Less: Fair Value Hedges (See Note on Ln 66 below)</v>
      </c>
      <c r="C98" s="1077">
        <v>0</v>
      </c>
      <c r="D98" s="1077"/>
      <c r="E98" s="1077">
        <v>0</v>
      </c>
      <c r="F98" s="1077">
        <v>0</v>
      </c>
      <c r="G98" s="1077">
        <v>0</v>
      </c>
      <c r="H98" s="1077">
        <v>0</v>
      </c>
      <c r="I98" s="1077">
        <v>0</v>
      </c>
      <c r="J98" s="929">
        <f>SUM(C98:I98)</f>
        <v>0</v>
      </c>
    </row>
    <row r="99" spans="1:10" ht="12.75">
      <c r="A99" s="927">
        <f>A98+1</f>
        <v>65</v>
      </c>
      <c r="B99" s="667" t="s">
        <v>885</v>
      </c>
      <c r="C99" s="930">
        <f aca="true" t="shared" si="29" ref="C99:J99">C94-C95+C96+C97-C98</f>
        <v>4201154787</v>
      </c>
      <c r="D99" s="930"/>
      <c r="E99" s="930">
        <f t="shared" si="29"/>
        <v>1600281142</v>
      </c>
      <c r="F99" s="930">
        <f t="shared" si="29"/>
        <v>750000000</v>
      </c>
      <c r="G99" s="930">
        <f t="shared" si="29"/>
        <v>20000000</v>
      </c>
      <c r="H99" s="930">
        <f t="shared" si="29"/>
        <v>2473284996</v>
      </c>
      <c r="I99" s="930">
        <f t="shared" si="29"/>
        <v>25000000</v>
      </c>
      <c r="J99" s="930">
        <f t="shared" si="29"/>
        <v>9069720925</v>
      </c>
    </row>
    <row r="101" spans="1:10" ht="12.75">
      <c r="A101" s="927">
        <f>A99+1</f>
        <v>66</v>
      </c>
      <c r="B101" s="1258" t="s">
        <v>881</v>
      </c>
      <c r="C101" s="1258"/>
      <c r="D101" s="1258"/>
      <c r="E101" s="1258"/>
      <c r="F101" s="1258"/>
      <c r="G101" s="1258"/>
      <c r="H101" s="1258"/>
      <c r="I101" s="1258"/>
      <c r="J101" s="1258"/>
    </row>
    <row r="102" spans="2:10" ht="12.75">
      <c r="B102" s="931"/>
      <c r="C102" s="931"/>
      <c r="D102" s="931"/>
      <c r="E102" s="931"/>
      <c r="F102" s="931"/>
      <c r="G102" s="931"/>
      <c r="H102" s="931"/>
      <c r="I102" s="931"/>
      <c r="J102" s="931"/>
    </row>
    <row r="103" ht="15">
      <c r="A103" s="658" t="s">
        <v>712</v>
      </c>
    </row>
    <row r="104" spans="1:10" ht="12.75">
      <c r="A104" s="927">
        <f>A101+1</f>
        <v>67</v>
      </c>
      <c r="B104" s="666" t="s">
        <v>438</v>
      </c>
      <c r="C104" s="1078">
        <v>185202116</v>
      </c>
      <c r="D104" s="1078"/>
      <c r="E104" s="1078">
        <v>92594357</v>
      </c>
      <c r="F104" s="1078">
        <v>35048706</v>
      </c>
      <c r="G104" s="1078">
        <v>904000</v>
      </c>
      <c r="H104" s="1078">
        <v>177049876</v>
      </c>
      <c r="I104" s="1078">
        <v>1312500</v>
      </c>
      <c r="J104" s="481">
        <f aca="true" t="shared" si="30" ref="J104:J109">SUM(C104:I104)</f>
        <v>492111555</v>
      </c>
    </row>
    <row r="105" spans="1:10" ht="12.75">
      <c r="A105" s="927">
        <f aca="true" t="shared" si="31" ref="A105:A110">A104+1</f>
        <v>68</v>
      </c>
      <c r="B105" s="666" t="s">
        <v>427</v>
      </c>
      <c r="C105" s="1078">
        <v>3337225</v>
      </c>
      <c r="D105" s="1078"/>
      <c r="E105" s="1078">
        <v>2814644</v>
      </c>
      <c r="F105" s="1078">
        <v>471186</v>
      </c>
      <c r="G105" s="1078">
        <v>0</v>
      </c>
      <c r="H105" s="1078">
        <v>5807092</v>
      </c>
      <c r="I105" s="1078">
        <v>0</v>
      </c>
      <c r="J105" s="481">
        <f t="shared" si="30"/>
        <v>12430147</v>
      </c>
    </row>
    <row r="106" spans="1:10" ht="12.75">
      <c r="A106" s="927">
        <f t="shared" si="31"/>
        <v>69</v>
      </c>
      <c r="B106" s="666" t="s">
        <v>428</v>
      </c>
      <c r="C106" s="1078">
        <v>1347335</v>
      </c>
      <c r="D106" s="1078"/>
      <c r="E106" s="1078">
        <v>1941251</v>
      </c>
      <c r="F106" s="1078">
        <v>33649</v>
      </c>
      <c r="G106" s="1078">
        <v>0</v>
      </c>
      <c r="H106" s="1078">
        <v>1359637</v>
      </c>
      <c r="I106" s="1078">
        <v>0</v>
      </c>
      <c r="J106" s="481">
        <f t="shared" si="30"/>
        <v>4681872</v>
      </c>
    </row>
    <row r="107" spans="1:10" ht="12.75">
      <c r="A107" s="927">
        <f t="shared" si="31"/>
        <v>70</v>
      </c>
      <c r="B107" s="666" t="s">
        <v>429</v>
      </c>
      <c r="C107" s="1076">
        <v>0</v>
      </c>
      <c r="D107" s="1076"/>
      <c r="E107" s="1076">
        <v>0</v>
      </c>
      <c r="F107" s="1076">
        <v>0</v>
      </c>
      <c r="G107" s="1076">
        <v>0</v>
      </c>
      <c r="H107" s="1076">
        <v>0</v>
      </c>
      <c r="I107" s="1076">
        <v>0</v>
      </c>
      <c r="J107" s="370">
        <f t="shared" si="30"/>
        <v>0</v>
      </c>
    </row>
    <row r="108" spans="1:10" ht="12.75">
      <c r="A108" s="927">
        <f t="shared" si="31"/>
        <v>71</v>
      </c>
      <c r="B108" s="666" t="s">
        <v>430</v>
      </c>
      <c r="C108" s="1076">
        <v>0</v>
      </c>
      <c r="D108" s="1076"/>
      <c r="E108" s="1076">
        <v>1712</v>
      </c>
      <c r="F108" s="1076">
        <v>0</v>
      </c>
      <c r="G108" s="1076">
        <v>0</v>
      </c>
      <c r="H108" s="1076">
        <v>0</v>
      </c>
      <c r="I108" s="1076">
        <v>0</v>
      </c>
      <c r="J108" s="370">
        <f t="shared" si="30"/>
        <v>1712</v>
      </c>
    </row>
    <row r="109" spans="1:10" ht="12.75">
      <c r="A109" s="927">
        <f t="shared" si="31"/>
        <v>72</v>
      </c>
      <c r="B109" s="932" t="s">
        <v>713</v>
      </c>
      <c r="C109" s="1077">
        <v>1558935</v>
      </c>
      <c r="D109" s="1077"/>
      <c r="E109" s="1077">
        <v>916010</v>
      </c>
      <c r="F109" s="1077">
        <v>92956</v>
      </c>
      <c r="G109" s="1077">
        <v>0</v>
      </c>
      <c r="H109" s="1077">
        <v>-2097663</v>
      </c>
      <c r="I109" s="1077">
        <v>0</v>
      </c>
      <c r="J109" s="929">
        <f t="shared" si="30"/>
        <v>470238</v>
      </c>
    </row>
    <row r="110" spans="1:10" ht="12.75">
      <c r="A110" s="927">
        <f t="shared" si="31"/>
        <v>73</v>
      </c>
      <c r="B110" s="992" t="s">
        <v>886</v>
      </c>
      <c r="C110" s="934">
        <f aca="true" t="shared" si="32" ref="C110:I110">C104+C105+C106-C107-C108-C109</f>
        <v>188327741</v>
      </c>
      <c r="D110" s="934"/>
      <c r="E110" s="934">
        <f t="shared" si="32"/>
        <v>96432530</v>
      </c>
      <c r="F110" s="934">
        <f t="shared" si="32"/>
        <v>35460585</v>
      </c>
      <c r="G110" s="934">
        <f t="shared" si="32"/>
        <v>904000</v>
      </c>
      <c r="H110" s="934">
        <f t="shared" si="32"/>
        <v>186314268</v>
      </c>
      <c r="I110" s="934">
        <f t="shared" si="32"/>
        <v>1312500</v>
      </c>
      <c r="J110" s="934">
        <f>J104+J105+J106-J107-J108-J109</f>
        <v>508751624</v>
      </c>
    </row>
    <row r="112" spans="1:5" ht="15">
      <c r="A112" s="658" t="s">
        <v>714</v>
      </c>
      <c r="B112" s="935"/>
      <c r="C112" s="935"/>
      <c r="D112" s="935"/>
      <c r="E112" s="935"/>
    </row>
    <row r="113" spans="1:10" ht="12.75">
      <c r="A113" s="927">
        <f>A110+1</f>
        <v>74</v>
      </c>
      <c r="B113" s="613" t="s">
        <v>715</v>
      </c>
      <c r="C113" s="1080">
        <v>0.045</v>
      </c>
      <c r="D113" s="1081"/>
      <c r="E113" s="1082">
        <v>0.04125</v>
      </c>
      <c r="F113" s="1081"/>
      <c r="G113" s="1081"/>
      <c r="H113" s="1080">
        <v>0.0408</v>
      </c>
      <c r="I113" s="1081"/>
      <c r="J113" s="936"/>
    </row>
    <row r="114" spans="1:10" ht="12.75">
      <c r="A114" s="927">
        <f>A113+1</f>
        <v>75</v>
      </c>
      <c r="B114" s="613" t="s">
        <v>716</v>
      </c>
      <c r="C114" s="1083">
        <v>100</v>
      </c>
      <c r="D114" s="1084"/>
      <c r="E114" s="1083">
        <v>100</v>
      </c>
      <c r="F114" s="1084"/>
      <c r="G114" s="1084"/>
      <c r="H114" s="1083">
        <v>100</v>
      </c>
      <c r="I114" s="1084"/>
      <c r="J114" s="937"/>
    </row>
    <row r="115" spans="1:9" ht="12.75">
      <c r="A115" s="927">
        <f>A114+1</f>
        <v>76</v>
      </c>
      <c r="B115" s="613" t="s">
        <v>717</v>
      </c>
      <c r="C115" s="1078">
        <v>0</v>
      </c>
      <c r="D115" s="1085"/>
      <c r="E115" s="1078">
        <v>0</v>
      </c>
      <c r="F115" s="1085"/>
      <c r="G115" s="1085"/>
      <c r="H115" s="1078">
        <v>0</v>
      </c>
      <c r="I115" s="1085"/>
    </row>
    <row r="116" spans="1:10" ht="12.75">
      <c r="A116" s="927">
        <f>A115+1</f>
        <v>77</v>
      </c>
      <c r="B116" s="613" t="str">
        <f>"Monetary Value (Ln "&amp;A114&amp;" * Ln "&amp;A115&amp;")"</f>
        <v>Monetary Value (Ln 75 * Ln 76)</v>
      </c>
      <c r="C116" s="411">
        <f aca="true" t="shared" si="33" ref="C116:I116">C114*C115</f>
        <v>0</v>
      </c>
      <c r="D116" s="411"/>
      <c r="E116" s="411">
        <f t="shared" si="33"/>
        <v>0</v>
      </c>
      <c r="F116" s="411">
        <f t="shared" si="33"/>
        <v>0</v>
      </c>
      <c r="G116" s="411">
        <f t="shared" si="33"/>
        <v>0</v>
      </c>
      <c r="H116" s="411">
        <f t="shared" si="33"/>
        <v>0</v>
      </c>
      <c r="I116" s="411">
        <f t="shared" si="33"/>
        <v>0</v>
      </c>
      <c r="J116" s="934">
        <f>SUM(C116:I116)</f>
        <v>0</v>
      </c>
    </row>
    <row r="117" spans="1:10" ht="12.75">
      <c r="A117" s="927">
        <f>A116+1</f>
        <v>78</v>
      </c>
      <c r="B117" s="613" t="str">
        <f>"Dividend Amount (Ln "&amp;A113&amp;" * Ln "&amp;A116&amp;")"</f>
        <v>Dividend Amount (Ln 74 * Ln 77)</v>
      </c>
      <c r="C117" s="411">
        <f aca="true" t="shared" si="34" ref="C117:I117">C116*C113</f>
        <v>0</v>
      </c>
      <c r="D117" s="411"/>
      <c r="E117" s="411">
        <f t="shared" si="34"/>
        <v>0</v>
      </c>
      <c r="F117" s="411">
        <f t="shared" si="34"/>
        <v>0</v>
      </c>
      <c r="G117" s="411">
        <f t="shared" si="34"/>
        <v>0</v>
      </c>
      <c r="H117" s="411">
        <f t="shared" si="34"/>
        <v>0</v>
      </c>
      <c r="I117" s="411">
        <f t="shared" si="34"/>
        <v>0</v>
      </c>
      <c r="J117" s="934">
        <f>SUM(C117:I117)</f>
        <v>0</v>
      </c>
    </row>
    <row r="119" spans="1:9" ht="12.75">
      <c r="A119" s="927">
        <f>A117+1</f>
        <v>79</v>
      </c>
      <c r="B119" s="613" t="s">
        <v>715</v>
      </c>
      <c r="C119" s="1081"/>
      <c r="D119" s="1081"/>
      <c r="E119" s="1080">
        <v>0.0412</v>
      </c>
      <c r="F119" s="1081"/>
      <c r="G119" s="1081"/>
      <c r="H119" s="1080">
        <v>0.042</v>
      </c>
      <c r="I119" s="1081"/>
    </row>
    <row r="120" spans="1:9" ht="12.75">
      <c r="A120" s="927">
        <f>A119+1</f>
        <v>80</v>
      </c>
      <c r="B120" s="613" t="s">
        <v>716</v>
      </c>
      <c r="C120" s="1084"/>
      <c r="D120" s="1084"/>
      <c r="E120" s="1083">
        <v>100</v>
      </c>
      <c r="F120" s="1084"/>
      <c r="G120" s="1084"/>
      <c r="H120" s="1083">
        <v>100</v>
      </c>
      <c r="I120" s="1084"/>
    </row>
    <row r="121" spans="1:9" ht="12.75">
      <c r="A121" s="927">
        <f>A120+1</f>
        <v>81</v>
      </c>
      <c r="B121" s="613" t="s">
        <v>717</v>
      </c>
      <c r="C121" s="1085"/>
      <c r="D121" s="1085"/>
      <c r="E121" s="1078">
        <v>0</v>
      </c>
      <c r="F121" s="1085"/>
      <c r="G121" s="1085"/>
      <c r="H121" s="1078">
        <v>0</v>
      </c>
      <c r="I121" s="1085"/>
    </row>
    <row r="122" spans="1:10" ht="12.75">
      <c r="A122" s="927">
        <f>A121+1</f>
        <v>82</v>
      </c>
      <c r="B122" s="613" t="str">
        <f>"Monetary Value (Ln "&amp;A120&amp;" * Ln "&amp;A121&amp;")"</f>
        <v>Monetary Value (Ln 80 * Ln 81)</v>
      </c>
      <c r="C122" s="411">
        <f aca="true" t="shared" si="35" ref="C122:I122">C120*C121</f>
        <v>0</v>
      </c>
      <c r="D122" s="411"/>
      <c r="E122" s="411">
        <f t="shared" si="35"/>
        <v>0</v>
      </c>
      <c r="F122" s="411">
        <f t="shared" si="35"/>
        <v>0</v>
      </c>
      <c r="G122" s="411">
        <f t="shared" si="35"/>
        <v>0</v>
      </c>
      <c r="H122" s="411">
        <f t="shared" si="35"/>
        <v>0</v>
      </c>
      <c r="I122" s="411">
        <f t="shared" si="35"/>
        <v>0</v>
      </c>
      <c r="J122" s="934">
        <f>SUM(C122:I122)</f>
        <v>0</v>
      </c>
    </row>
    <row r="123" spans="1:10" ht="12.75">
      <c r="A123" s="927">
        <f>A122+1</f>
        <v>83</v>
      </c>
      <c r="B123" s="613" t="str">
        <f>"Dividend Amount (Ln "&amp;A119&amp;" * Ln "&amp;A122&amp;")"</f>
        <v>Dividend Amount (Ln 79 * Ln 82)</v>
      </c>
      <c r="C123" s="411">
        <f aca="true" t="shared" si="36" ref="C123:I123">C122*C119</f>
        <v>0</v>
      </c>
      <c r="D123" s="411"/>
      <c r="E123" s="411">
        <f t="shared" si="36"/>
        <v>0</v>
      </c>
      <c r="F123" s="411">
        <f t="shared" si="36"/>
        <v>0</v>
      </c>
      <c r="G123" s="411">
        <f t="shared" si="36"/>
        <v>0</v>
      </c>
      <c r="H123" s="411">
        <f t="shared" si="36"/>
        <v>0</v>
      </c>
      <c r="I123" s="411">
        <f t="shared" si="36"/>
        <v>0</v>
      </c>
      <c r="J123" s="934">
        <f>SUM(C123:I123)</f>
        <v>0</v>
      </c>
    </row>
    <row r="125" spans="1:9" ht="12.75">
      <c r="A125" s="927">
        <f>A123+1</f>
        <v>84</v>
      </c>
      <c r="B125" s="613" t="s">
        <v>715</v>
      </c>
      <c r="C125" s="1081"/>
      <c r="D125" s="1081"/>
      <c r="E125" s="1080">
        <v>0.0456</v>
      </c>
      <c r="F125" s="1081"/>
      <c r="G125" s="1081"/>
      <c r="H125" s="1086">
        <v>0.044</v>
      </c>
      <c r="I125" s="1081"/>
    </row>
    <row r="126" spans="1:9" ht="12.75">
      <c r="A126" s="927">
        <f>A125+1</f>
        <v>85</v>
      </c>
      <c r="B126" s="613" t="s">
        <v>716</v>
      </c>
      <c r="C126" s="1084"/>
      <c r="D126" s="1084"/>
      <c r="E126" s="1083">
        <v>100</v>
      </c>
      <c r="F126" s="1084"/>
      <c r="G126" s="1084"/>
      <c r="H126" s="1087">
        <v>100</v>
      </c>
      <c r="I126" s="1084"/>
    </row>
    <row r="127" spans="1:9" ht="12.75">
      <c r="A127" s="927">
        <f>A126+1</f>
        <v>86</v>
      </c>
      <c r="B127" s="613" t="s">
        <v>717</v>
      </c>
      <c r="C127" s="1085"/>
      <c r="D127" s="1085"/>
      <c r="E127" s="1078">
        <v>0</v>
      </c>
      <c r="F127" s="1085"/>
      <c r="G127" s="1085"/>
      <c r="H127" s="1078">
        <v>0</v>
      </c>
      <c r="I127" s="1085"/>
    </row>
    <row r="128" spans="1:10" ht="12.75">
      <c r="A128" s="927">
        <f>A127+1</f>
        <v>87</v>
      </c>
      <c r="B128" s="613" t="str">
        <f>"Monetary Value (Ln "&amp;A126&amp;" * Ln "&amp;A127&amp;")"</f>
        <v>Monetary Value (Ln 85 * Ln 86)</v>
      </c>
      <c r="C128" s="411">
        <f aca="true" t="shared" si="37" ref="C128:I128">C126*C127</f>
        <v>0</v>
      </c>
      <c r="D128" s="411"/>
      <c r="E128" s="411">
        <f t="shared" si="37"/>
        <v>0</v>
      </c>
      <c r="F128" s="411">
        <f t="shared" si="37"/>
        <v>0</v>
      </c>
      <c r="G128" s="411">
        <f t="shared" si="37"/>
        <v>0</v>
      </c>
      <c r="H128" s="411">
        <f t="shared" si="37"/>
        <v>0</v>
      </c>
      <c r="I128" s="411">
        <f t="shared" si="37"/>
        <v>0</v>
      </c>
      <c r="J128" s="934">
        <f>SUM(C128:I128)</f>
        <v>0</v>
      </c>
    </row>
    <row r="129" spans="1:10" ht="12.75">
      <c r="A129" s="927">
        <f>A128+1</f>
        <v>88</v>
      </c>
      <c r="B129" s="613" t="str">
        <f>"Dividend Amount (Ln "&amp;A125&amp;" * Ln "&amp;A128&amp;")"</f>
        <v>Dividend Amount (Ln 84 * Ln 87)</v>
      </c>
      <c r="C129" s="411">
        <f aca="true" t="shared" si="38" ref="C129:I129">C128*C125</f>
        <v>0</v>
      </c>
      <c r="D129" s="411"/>
      <c r="E129" s="411">
        <f t="shared" si="38"/>
        <v>0</v>
      </c>
      <c r="F129" s="411">
        <f t="shared" si="38"/>
        <v>0</v>
      </c>
      <c r="G129" s="411">
        <f t="shared" si="38"/>
        <v>0</v>
      </c>
      <c r="H129" s="411">
        <f t="shared" si="38"/>
        <v>0</v>
      </c>
      <c r="I129" s="411">
        <f t="shared" si="38"/>
        <v>0</v>
      </c>
      <c r="J129" s="934">
        <f>SUM(C129:I129)</f>
        <v>0</v>
      </c>
    </row>
    <row r="131" spans="1:9" ht="12.75">
      <c r="A131" s="927">
        <f>A129+1</f>
        <v>89</v>
      </c>
      <c r="B131" s="613" t="s">
        <v>715</v>
      </c>
      <c r="C131" s="1081"/>
      <c r="D131" s="1081"/>
      <c r="E131" s="1080"/>
      <c r="F131" s="1081"/>
      <c r="G131" s="1081"/>
      <c r="H131" s="1086">
        <v>0.045</v>
      </c>
      <c r="I131" s="1081"/>
    </row>
    <row r="132" spans="1:9" ht="12.75">
      <c r="A132" s="927">
        <f>A131+1</f>
        <v>90</v>
      </c>
      <c r="B132" s="613" t="s">
        <v>716</v>
      </c>
      <c r="C132" s="1084"/>
      <c r="D132" s="1084"/>
      <c r="E132" s="1083"/>
      <c r="F132" s="1084"/>
      <c r="G132" s="1084"/>
      <c r="H132" s="1087">
        <v>100</v>
      </c>
      <c r="I132" s="1084"/>
    </row>
    <row r="133" spans="1:9" ht="12.75">
      <c r="A133" s="927">
        <f>A132+1</f>
        <v>91</v>
      </c>
      <c r="B133" s="613" t="s">
        <v>717</v>
      </c>
      <c r="C133" s="1085"/>
      <c r="D133" s="1085"/>
      <c r="E133" s="1078"/>
      <c r="F133" s="1085"/>
      <c r="G133" s="1085"/>
      <c r="H133" s="1078">
        <v>0</v>
      </c>
      <c r="I133" s="1085"/>
    </row>
    <row r="134" spans="1:10" ht="12.75">
      <c r="A134" s="927">
        <f>A133+1</f>
        <v>92</v>
      </c>
      <c r="B134" s="613" t="str">
        <f>"Monetary Value (Ln "&amp;A132&amp;" * Ln "&amp;A133&amp;")"</f>
        <v>Monetary Value (Ln 90 * Ln 91)</v>
      </c>
      <c r="C134" s="411">
        <f aca="true" t="shared" si="39" ref="C134:I134">C132*C133</f>
        <v>0</v>
      </c>
      <c r="D134" s="411"/>
      <c r="E134" s="411">
        <f t="shared" si="39"/>
        <v>0</v>
      </c>
      <c r="F134" s="411">
        <f t="shared" si="39"/>
        <v>0</v>
      </c>
      <c r="G134" s="411">
        <f t="shared" si="39"/>
        <v>0</v>
      </c>
      <c r="H134" s="411">
        <f t="shared" si="39"/>
        <v>0</v>
      </c>
      <c r="I134" s="411">
        <f t="shared" si="39"/>
        <v>0</v>
      </c>
      <c r="J134" s="934">
        <f>SUM(C134:I134)</f>
        <v>0</v>
      </c>
    </row>
    <row r="135" spans="1:10" ht="12.75">
      <c r="A135" s="927">
        <f>A134+1</f>
        <v>93</v>
      </c>
      <c r="B135" s="613" t="str">
        <f>"Dividend Amount (Ln "&amp;A131&amp;" * Ln "&amp;A134&amp;")"</f>
        <v>Dividend Amount (Ln 89 * Ln 92)</v>
      </c>
      <c r="C135" s="411">
        <f aca="true" t="shared" si="40" ref="C135:I135">C134*C131</f>
        <v>0</v>
      </c>
      <c r="D135" s="411"/>
      <c r="E135" s="411">
        <f t="shared" si="40"/>
        <v>0</v>
      </c>
      <c r="F135" s="411">
        <f t="shared" si="40"/>
        <v>0</v>
      </c>
      <c r="G135" s="411">
        <f t="shared" si="40"/>
        <v>0</v>
      </c>
      <c r="H135" s="411">
        <f t="shared" si="40"/>
        <v>0</v>
      </c>
      <c r="I135" s="411">
        <f t="shared" si="40"/>
        <v>0</v>
      </c>
      <c r="J135" s="934">
        <f>SUM(C135:I135)</f>
        <v>0</v>
      </c>
    </row>
    <row r="136" ht="12.75">
      <c r="B136" s="613"/>
    </row>
    <row r="137" spans="1:10" ht="12.75">
      <c r="A137" s="927">
        <f>A135+1</f>
        <v>94</v>
      </c>
      <c r="B137" s="660" t="str">
        <f>"Preferred Stock (Lns "&amp;A116&amp;", "&amp;A122&amp;", "&amp;A128&amp;","&amp;A134&amp;")"</f>
        <v>Preferred Stock (Lns 77, 82, 87,92)</v>
      </c>
      <c r="C137" s="934">
        <f aca="true" t="shared" si="41" ref="C137:I138">C116+C122+C128+C134</f>
        <v>0</v>
      </c>
      <c r="D137" s="934"/>
      <c r="E137" s="934">
        <f t="shared" si="41"/>
        <v>0</v>
      </c>
      <c r="F137" s="934">
        <f t="shared" si="41"/>
        <v>0</v>
      </c>
      <c r="G137" s="934">
        <f t="shared" si="41"/>
        <v>0</v>
      </c>
      <c r="H137" s="934">
        <f t="shared" si="41"/>
        <v>0</v>
      </c>
      <c r="I137" s="934">
        <f t="shared" si="41"/>
        <v>0</v>
      </c>
      <c r="J137" s="934">
        <f>SUM(C137:I137)</f>
        <v>0</v>
      </c>
    </row>
    <row r="138" spans="1:10" ht="12.75">
      <c r="A138" s="927">
        <f>A137+1</f>
        <v>95</v>
      </c>
      <c r="B138" s="660" t="str">
        <f>"Preferred Dividends (Lns "&amp;A117&amp;", "&amp;A123&amp;", "&amp;A129&amp;","&amp;A135&amp;")"</f>
        <v>Preferred Dividends (Lns 78, 83, 88,93)</v>
      </c>
      <c r="C138" s="934">
        <f t="shared" si="41"/>
        <v>0</v>
      </c>
      <c r="D138" s="934"/>
      <c r="E138" s="934">
        <f t="shared" si="41"/>
        <v>0</v>
      </c>
      <c r="F138" s="934">
        <f t="shared" si="41"/>
        <v>0</v>
      </c>
      <c r="G138" s="934">
        <f t="shared" si="41"/>
        <v>0</v>
      </c>
      <c r="H138" s="934">
        <f t="shared" si="41"/>
        <v>0</v>
      </c>
      <c r="I138" s="934">
        <f t="shared" si="41"/>
        <v>0</v>
      </c>
      <c r="J138" s="934">
        <f>SUM(C138:I138)</f>
        <v>0</v>
      </c>
    </row>
    <row r="139" ht="12.75">
      <c r="B139" s="993"/>
    </row>
    <row r="140" ht="15">
      <c r="A140" s="658" t="s">
        <v>718</v>
      </c>
    </row>
    <row r="141" spans="1:10" ht="12.75">
      <c r="A141" s="927">
        <f>A138+1</f>
        <v>96</v>
      </c>
      <c r="B141" s="659" t="s">
        <v>719</v>
      </c>
      <c r="C141" s="1079">
        <v>3231334227</v>
      </c>
      <c r="D141" s="1079"/>
      <c r="E141" s="1079">
        <v>1922153922</v>
      </c>
      <c r="F141" s="1079">
        <v>839369490</v>
      </c>
      <c r="G141" s="1079">
        <v>31081849</v>
      </c>
      <c r="H141" s="1079">
        <v>1625265129</v>
      </c>
      <c r="I141" s="1079">
        <v>120225152</v>
      </c>
      <c r="J141" s="934">
        <f>SUM(C141:I141)</f>
        <v>7769429769</v>
      </c>
    </row>
    <row r="142" spans="1:10" ht="12.75">
      <c r="A142" s="927">
        <f>A141+1</f>
        <v>97</v>
      </c>
      <c r="B142" s="659" t="str">
        <f>"Less: Preferred Stock (Ln "&amp;A137&amp;" Above)"</f>
        <v>Less: Preferred Stock (Ln 94 Above)</v>
      </c>
      <c r="C142" s="938">
        <f aca="true" t="shared" si="42" ref="C142:I142">C137</f>
        <v>0</v>
      </c>
      <c r="D142" s="938"/>
      <c r="E142" s="938">
        <f t="shared" si="42"/>
        <v>0</v>
      </c>
      <c r="F142" s="938">
        <f t="shared" si="42"/>
        <v>0</v>
      </c>
      <c r="G142" s="938">
        <f t="shared" si="42"/>
        <v>0</v>
      </c>
      <c r="H142" s="938">
        <f t="shared" si="42"/>
        <v>0</v>
      </c>
      <c r="I142" s="938">
        <f t="shared" si="42"/>
        <v>0</v>
      </c>
      <c r="J142" s="934">
        <f>SUM(C142:I142)</f>
        <v>0</v>
      </c>
    </row>
    <row r="143" spans="1:10" ht="12.75">
      <c r="A143" s="927">
        <f>A142+1</f>
        <v>98</v>
      </c>
      <c r="B143" s="659" t="s">
        <v>720</v>
      </c>
      <c r="C143" s="1076">
        <v>1639734</v>
      </c>
      <c r="D143" s="1076"/>
      <c r="E143" s="1076">
        <v>-96036</v>
      </c>
      <c r="F143" s="1076">
        <v>0</v>
      </c>
      <c r="G143" s="1076">
        <v>0</v>
      </c>
      <c r="H143" s="1076">
        <v>4915704</v>
      </c>
      <c r="I143" s="1076">
        <v>0</v>
      </c>
      <c r="J143" s="934">
        <f>SUM(C143:I143)</f>
        <v>6459402</v>
      </c>
    </row>
    <row r="144" spans="1:10" ht="12.75">
      <c r="A144" s="927">
        <f>A143+1</f>
        <v>99</v>
      </c>
      <c r="B144" s="659" t="s">
        <v>721</v>
      </c>
      <c r="C144" s="1077">
        <v>2951210</v>
      </c>
      <c r="D144" s="1077"/>
      <c r="E144" s="1077">
        <v>-15508739</v>
      </c>
      <c r="F144" s="1077">
        <v>-5419702</v>
      </c>
      <c r="G144" s="1077">
        <v>3296</v>
      </c>
      <c r="H144" s="1077">
        <v>7079463</v>
      </c>
      <c r="I144" s="1077">
        <v>972206</v>
      </c>
      <c r="J144" s="939">
        <f>SUM(C144:I144)</f>
        <v>-9922266</v>
      </c>
    </row>
    <row r="145" spans="1:10" ht="12.75">
      <c r="A145" s="927">
        <f>A144+1</f>
        <v>100</v>
      </c>
      <c r="B145" s="664" t="s">
        <v>722</v>
      </c>
      <c r="C145" s="940">
        <f aca="true" t="shared" si="43" ref="C145:J145">C141-C142-C143-C144</f>
        <v>3226743283</v>
      </c>
      <c r="D145" s="940"/>
      <c r="E145" s="940">
        <f t="shared" si="43"/>
        <v>1937758697</v>
      </c>
      <c r="F145" s="940">
        <f t="shared" si="43"/>
        <v>844789192</v>
      </c>
      <c r="G145" s="940">
        <f t="shared" si="43"/>
        <v>31078553</v>
      </c>
      <c r="H145" s="940">
        <f t="shared" si="43"/>
        <v>1613269962</v>
      </c>
      <c r="I145" s="940">
        <f t="shared" si="43"/>
        <v>119252946</v>
      </c>
      <c r="J145" s="940">
        <f t="shared" si="43"/>
        <v>7772892633</v>
      </c>
    </row>
    <row r="147" ht="15">
      <c r="A147" s="658" t="s">
        <v>723</v>
      </c>
    </row>
    <row r="148" spans="1:10" ht="12.75">
      <c r="A148" s="927">
        <f>A145+1</f>
        <v>101</v>
      </c>
      <c r="B148" s="150" t="str">
        <f>"Long Term Debt (Ln "&amp;A99&amp;" Above)"</f>
        <v>Long Term Debt (Ln 65 Above)</v>
      </c>
      <c r="C148" s="934">
        <f aca="true" t="shared" si="44" ref="C148:J148">C99</f>
        <v>4201154787</v>
      </c>
      <c r="D148" s="934"/>
      <c r="E148" s="934">
        <f t="shared" si="44"/>
        <v>1600281142</v>
      </c>
      <c r="F148" s="934">
        <f t="shared" si="44"/>
        <v>750000000</v>
      </c>
      <c r="G148" s="934">
        <f t="shared" si="44"/>
        <v>20000000</v>
      </c>
      <c r="H148" s="934">
        <f t="shared" si="44"/>
        <v>2473284996</v>
      </c>
      <c r="I148" s="934">
        <f t="shared" si="44"/>
        <v>25000000</v>
      </c>
      <c r="J148" s="934">
        <f t="shared" si="44"/>
        <v>9069720925</v>
      </c>
    </row>
    <row r="149" spans="1:10" ht="12.75">
      <c r="A149" s="927">
        <f>A148+1</f>
        <v>102</v>
      </c>
      <c r="B149" s="150" t="str">
        <f>"Preferred Stock (Ln "&amp;A137&amp;" Above)"</f>
        <v>Preferred Stock (Ln 94 Above)</v>
      </c>
      <c r="C149" s="934">
        <f aca="true" t="shared" si="45" ref="C149:J149">C137</f>
        <v>0</v>
      </c>
      <c r="D149" s="934"/>
      <c r="E149" s="934">
        <f t="shared" si="45"/>
        <v>0</v>
      </c>
      <c r="F149" s="934">
        <f t="shared" si="45"/>
        <v>0</v>
      </c>
      <c r="G149" s="934">
        <f t="shared" si="45"/>
        <v>0</v>
      </c>
      <c r="H149" s="934">
        <f t="shared" si="45"/>
        <v>0</v>
      </c>
      <c r="I149" s="934">
        <f t="shared" si="45"/>
        <v>0</v>
      </c>
      <c r="J149" s="934">
        <f t="shared" si="45"/>
        <v>0</v>
      </c>
    </row>
    <row r="150" spans="1:10" ht="12.75">
      <c r="A150" s="927">
        <f>A149+1</f>
        <v>103</v>
      </c>
      <c r="B150" s="150" t="str">
        <f>"Common Equity (Ln "&amp;A145&amp;" Above)"</f>
        <v>Common Equity (Ln 100 Above)</v>
      </c>
      <c r="C150" s="939">
        <f aca="true" t="shared" si="46" ref="C150:J150">C145</f>
        <v>3226743283</v>
      </c>
      <c r="D150" s="939"/>
      <c r="E150" s="939">
        <f t="shared" si="46"/>
        <v>1937758697</v>
      </c>
      <c r="F150" s="939">
        <f t="shared" si="46"/>
        <v>844789192</v>
      </c>
      <c r="G150" s="939">
        <f t="shared" si="46"/>
        <v>31078553</v>
      </c>
      <c r="H150" s="939">
        <f t="shared" si="46"/>
        <v>1613269962</v>
      </c>
      <c r="I150" s="939">
        <f t="shared" si="46"/>
        <v>119252946</v>
      </c>
      <c r="J150" s="939">
        <f t="shared" si="46"/>
        <v>7772892633</v>
      </c>
    </row>
    <row r="151" spans="1:10" ht="12.75">
      <c r="A151" s="927">
        <f>A150+1</f>
        <v>104</v>
      </c>
      <c r="B151" s="927" t="s">
        <v>724</v>
      </c>
      <c r="C151" s="934">
        <f aca="true" t="shared" si="47" ref="C151:J151">SUM(C148:C150)</f>
        <v>7427898070</v>
      </c>
      <c r="D151" s="934"/>
      <c r="E151" s="934">
        <f t="shared" si="47"/>
        <v>3538039839</v>
      </c>
      <c r="F151" s="934">
        <f t="shared" si="47"/>
        <v>1594789192</v>
      </c>
      <c r="G151" s="934">
        <f t="shared" si="47"/>
        <v>51078553</v>
      </c>
      <c r="H151" s="934">
        <f t="shared" si="47"/>
        <v>4086554958</v>
      </c>
      <c r="I151" s="934">
        <f t="shared" si="47"/>
        <v>144252946</v>
      </c>
      <c r="J151" s="934">
        <f t="shared" si="47"/>
        <v>16842613558</v>
      </c>
    </row>
    <row r="153" spans="1:10" ht="12.75">
      <c r="A153" s="927">
        <f>A151+1</f>
        <v>105</v>
      </c>
      <c r="B153" s="150" t="str">
        <f>"LTD Capital Shares (Ln "&amp;A148&amp;" / Ln "&amp;A151&amp;")"</f>
        <v>LTD Capital Shares (Ln 101 / Ln 104)</v>
      </c>
      <c r="C153" s="941">
        <f aca="true" t="shared" si="48" ref="C153:J153">C148/C151</f>
        <v>0.565591335181044</v>
      </c>
      <c r="D153" s="941"/>
      <c r="E153" s="941">
        <f t="shared" si="48"/>
        <v>0.4523072703591453</v>
      </c>
      <c r="F153" s="941">
        <f t="shared" si="48"/>
        <v>0.4702815919259127</v>
      </c>
      <c r="G153" s="941">
        <f t="shared" si="48"/>
        <v>0.3915537701312721</v>
      </c>
      <c r="H153" s="941">
        <f t="shared" si="48"/>
        <v>0.6052249440958087</v>
      </c>
      <c r="I153" s="941">
        <f t="shared" si="48"/>
        <v>0.17330668588217255</v>
      </c>
      <c r="J153" s="941">
        <f t="shared" si="48"/>
        <v>0.5384984280359513</v>
      </c>
    </row>
    <row r="154" spans="1:10" ht="12.75">
      <c r="A154" s="927">
        <f>A153+1</f>
        <v>106</v>
      </c>
      <c r="B154" s="150" t="str">
        <f>"Preferred Stock Capital Shares (Ln "&amp;A149&amp;" / Ln "&amp;A151&amp;")"</f>
        <v>Preferred Stock Capital Shares (Ln 102 / Ln 104)</v>
      </c>
      <c r="C154" s="941">
        <f aca="true" t="shared" si="49" ref="C154:J154">C149/C151</f>
        <v>0</v>
      </c>
      <c r="D154" s="941"/>
      <c r="E154" s="941">
        <f t="shared" si="49"/>
        <v>0</v>
      </c>
      <c r="F154" s="941">
        <f t="shared" si="49"/>
        <v>0</v>
      </c>
      <c r="G154" s="941">
        <f t="shared" si="49"/>
        <v>0</v>
      </c>
      <c r="H154" s="941">
        <f t="shared" si="49"/>
        <v>0</v>
      </c>
      <c r="I154" s="941">
        <f t="shared" si="49"/>
        <v>0</v>
      </c>
      <c r="J154" s="941">
        <f t="shared" si="49"/>
        <v>0</v>
      </c>
    </row>
    <row r="155" spans="1:10" ht="12.75">
      <c r="A155" s="942">
        <f>A154+1</f>
        <v>107</v>
      </c>
      <c r="B155" s="150" t="str">
        <f>"Common Equity Capital Shares (Ln "&amp;A150&amp;" / Ln "&amp;A151&amp;")"</f>
        <v>Common Equity Capital Shares (Ln 103 / Ln 104)</v>
      </c>
      <c r="C155" s="829">
        <f aca="true" t="shared" si="50" ref="C155:J155">C150/C151</f>
        <v>0.43440866481895596</v>
      </c>
      <c r="D155" s="829"/>
      <c r="E155" s="829">
        <f t="shared" si="50"/>
        <v>0.5476927296408547</v>
      </c>
      <c r="F155" s="829">
        <f t="shared" si="50"/>
        <v>0.5297184080740873</v>
      </c>
      <c r="G155" s="829">
        <f t="shared" si="50"/>
        <v>0.6084462298687279</v>
      </c>
      <c r="H155" s="829">
        <f t="shared" si="50"/>
        <v>0.39477505590419126</v>
      </c>
      <c r="I155" s="829">
        <f t="shared" si="50"/>
        <v>0.8266933141178274</v>
      </c>
      <c r="J155" s="829">
        <f t="shared" si="50"/>
        <v>0.46150157196404873</v>
      </c>
    </row>
    <row r="156" spans="1:10" ht="12.75">
      <c r="A156" s="942"/>
      <c r="B156" s="150"/>
      <c r="C156" s="829"/>
      <c r="D156" s="829"/>
      <c r="E156" s="829"/>
      <c r="F156" s="829"/>
      <c r="G156" s="829"/>
      <c r="H156" s="829"/>
      <c r="I156" s="829"/>
      <c r="J156" s="829"/>
    </row>
    <row r="157" spans="1:10" ht="12.75">
      <c r="A157" s="942">
        <f>A155+1</f>
        <v>108</v>
      </c>
      <c r="B157" s="660" t="s">
        <v>725</v>
      </c>
      <c r="C157" s="1088">
        <v>1</v>
      </c>
      <c r="D157" s="1088"/>
      <c r="E157" s="1088">
        <v>1</v>
      </c>
      <c r="F157" s="1088">
        <v>1</v>
      </c>
      <c r="G157" s="1088">
        <v>1</v>
      </c>
      <c r="H157" s="1088">
        <v>0.51</v>
      </c>
      <c r="I157" s="1088">
        <v>1</v>
      </c>
      <c r="J157" s="1088">
        <v>0.5</v>
      </c>
    </row>
    <row r="158" spans="1:10" ht="12.75">
      <c r="A158" s="942"/>
      <c r="B158" s="150"/>
      <c r="C158" s="829"/>
      <c r="D158" s="829"/>
      <c r="E158" s="829"/>
      <c r="F158" s="829"/>
      <c r="G158" s="829"/>
      <c r="H158" s="829"/>
      <c r="I158" s="829"/>
      <c r="J158" s="829"/>
    </row>
    <row r="159" spans="1:10" ht="12.75">
      <c r="A159" s="942">
        <f>A157+1</f>
        <v>109</v>
      </c>
      <c r="B159" s="150" t="s">
        <v>726</v>
      </c>
      <c r="C159" s="829">
        <f aca="true" t="shared" si="51" ref="C159:I159">IF(C155&gt;C157,1-C160-C161,C153)</f>
        <v>0.565591335181044</v>
      </c>
      <c r="D159" s="829"/>
      <c r="E159" s="829">
        <f t="shared" si="51"/>
        <v>0.4523072703591453</v>
      </c>
      <c r="F159" s="829">
        <f t="shared" si="51"/>
        <v>0.4702815919259127</v>
      </c>
      <c r="G159" s="829">
        <f t="shared" si="51"/>
        <v>0.3915537701312721</v>
      </c>
      <c r="H159" s="829">
        <f t="shared" si="51"/>
        <v>0.6052249440958087</v>
      </c>
      <c r="I159" s="829">
        <f t="shared" si="51"/>
        <v>0.17330668588217255</v>
      </c>
      <c r="J159" s="829">
        <f>IF(J161&gt;J157,1-J160-J161,SUMPRODUCT(C159:I159,C151:I151)/J151)</f>
        <v>0.5384984280359513</v>
      </c>
    </row>
    <row r="160" spans="1:10" ht="12.75">
      <c r="A160" s="942">
        <f>A159+1</f>
        <v>110</v>
      </c>
      <c r="B160" s="150" t="s">
        <v>727</v>
      </c>
      <c r="C160" s="829">
        <f aca="true" t="shared" si="52" ref="C160:J160">C154</f>
        <v>0</v>
      </c>
      <c r="D160" s="829"/>
      <c r="E160" s="829">
        <f t="shared" si="52"/>
        <v>0</v>
      </c>
      <c r="F160" s="829">
        <f t="shared" si="52"/>
        <v>0</v>
      </c>
      <c r="G160" s="829">
        <f t="shared" si="52"/>
        <v>0</v>
      </c>
      <c r="H160" s="829">
        <f t="shared" si="52"/>
        <v>0</v>
      </c>
      <c r="I160" s="829">
        <f t="shared" si="52"/>
        <v>0</v>
      </c>
      <c r="J160" s="829">
        <f t="shared" si="52"/>
        <v>0</v>
      </c>
    </row>
    <row r="161" spans="1:10" ht="12.75">
      <c r="A161" s="942">
        <f>A160+1</f>
        <v>111</v>
      </c>
      <c r="B161" s="150" t="s">
        <v>728</v>
      </c>
      <c r="C161" s="829">
        <f aca="true" t="shared" si="53" ref="C161:I161">IF(C155&gt;C157,C157,C155)</f>
        <v>0.43440866481895596</v>
      </c>
      <c r="D161" s="829"/>
      <c r="E161" s="829">
        <f t="shared" si="53"/>
        <v>0.5476927296408547</v>
      </c>
      <c r="F161" s="829">
        <f t="shared" si="53"/>
        <v>0.5297184080740873</v>
      </c>
      <c r="G161" s="829">
        <f t="shared" si="53"/>
        <v>0.6084462298687279</v>
      </c>
      <c r="H161" s="829">
        <f t="shared" si="53"/>
        <v>0.39477505590419126</v>
      </c>
      <c r="I161" s="829">
        <f t="shared" si="53"/>
        <v>0.8266933141178274</v>
      </c>
      <c r="J161" s="829">
        <f>IF(SUMPRODUCT(C161:I161,C151:I151)/J151&gt;J157,J157,SUMPRODUCT(C161:I161,C151:I151)/J151)</f>
        <v>0.46150157196404873</v>
      </c>
    </row>
    <row r="162" spans="2:10" ht="12.75">
      <c r="B162" s="150"/>
      <c r="C162" s="941"/>
      <c r="D162" s="941"/>
      <c r="E162" s="941"/>
      <c r="F162" s="941"/>
      <c r="G162" s="941"/>
      <c r="H162" s="941"/>
      <c r="I162" s="941"/>
      <c r="J162" s="941"/>
    </row>
    <row r="163" ht="15">
      <c r="A163" s="658" t="s">
        <v>729</v>
      </c>
    </row>
    <row r="164" spans="1:10" ht="12.75">
      <c r="A164" s="927">
        <f>A161+1</f>
        <v>112</v>
      </c>
      <c r="B164" s="150" t="str">
        <f>"LTD Capital Cost Rate (Ln "&amp;A110&amp;" / Ln "&amp;A99&amp;")"</f>
        <v>LTD Capital Cost Rate (Ln 73 / Ln 65)</v>
      </c>
      <c r="C164" s="941">
        <f aca="true" t="shared" si="54" ref="C164:J164">C110/C99</f>
        <v>0.04482761301315509</v>
      </c>
      <c r="D164" s="941"/>
      <c r="E164" s="941">
        <f t="shared" si="54"/>
        <v>0.060259742784621276</v>
      </c>
      <c r="F164" s="941">
        <f t="shared" si="54"/>
        <v>0.04728078</v>
      </c>
      <c r="G164" s="941">
        <f t="shared" si="54"/>
        <v>0.0452</v>
      </c>
      <c r="H164" s="941">
        <f t="shared" si="54"/>
        <v>0.07533069108546842</v>
      </c>
      <c r="I164" s="941">
        <f t="shared" si="54"/>
        <v>0.0525</v>
      </c>
      <c r="J164" s="941">
        <f t="shared" si="54"/>
        <v>0.056093415465261406</v>
      </c>
    </row>
    <row r="165" spans="1:10" ht="12.75">
      <c r="A165" s="927">
        <f>A164+1</f>
        <v>113</v>
      </c>
      <c r="B165" s="150" t="str">
        <f>"Preferred Stock Capital Cost Rate (Ln "&amp;A138&amp;" / Ln "&amp;A137&amp;")"</f>
        <v>Preferred Stock Capital Cost Rate (Ln 95 / Ln 94)</v>
      </c>
      <c r="C165" s="941">
        <f aca="true" t="shared" si="55" ref="C165:J165">IF(C137=0,0,C138/C137)</f>
        <v>0</v>
      </c>
      <c r="D165" s="941"/>
      <c r="E165" s="941">
        <f t="shared" si="55"/>
        <v>0</v>
      </c>
      <c r="F165" s="941">
        <f t="shared" si="55"/>
        <v>0</v>
      </c>
      <c r="G165" s="941">
        <f t="shared" si="55"/>
        <v>0</v>
      </c>
      <c r="H165" s="941">
        <f t="shared" si="55"/>
        <v>0</v>
      </c>
      <c r="I165" s="941">
        <f t="shared" si="55"/>
        <v>0</v>
      </c>
      <c r="J165" s="941">
        <f t="shared" si="55"/>
        <v>0</v>
      </c>
    </row>
    <row r="166" spans="1:10" ht="12.75">
      <c r="A166" s="927">
        <f>A165+1</f>
        <v>114</v>
      </c>
      <c r="B166" s="150" t="s">
        <v>730</v>
      </c>
      <c r="C166" s="941">
        <v>0.1149</v>
      </c>
      <c r="D166" s="941"/>
      <c r="E166" s="941">
        <v>0.1149</v>
      </c>
      <c r="F166" s="941">
        <v>0.1149</v>
      </c>
      <c r="G166" s="941">
        <v>0.1149</v>
      </c>
      <c r="H166" s="941">
        <v>0.1149</v>
      </c>
      <c r="I166" s="941">
        <v>0.1149</v>
      </c>
      <c r="J166" s="941">
        <v>0.1149</v>
      </c>
    </row>
    <row r="168" ht="15">
      <c r="A168" s="658" t="s">
        <v>731</v>
      </c>
    </row>
    <row r="169" spans="1:10" ht="12.75">
      <c r="A169" s="927">
        <f>A166+1</f>
        <v>115</v>
      </c>
      <c r="B169" s="150" t="str">
        <f>"LTD Weighted Capital Cost Rate (Ln "&amp;A159&amp;" * Ln "&amp;A164&amp;")"</f>
        <v>LTD Weighted Capital Cost Rate (Ln 109 * Ln 112)</v>
      </c>
      <c r="C169" s="941">
        <f aca="true" t="shared" si="56" ref="C169:J171">C159*C164</f>
        <v>0.02535410949708953</v>
      </c>
      <c r="D169" s="941"/>
      <c r="E169" s="941">
        <f t="shared" si="56"/>
        <v>0.02725591977145625</v>
      </c>
      <c r="F169" s="941">
        <f t="shared" si="56"/>
        <v>0.022235280485898856</v>
      </c>
      <c r="G169" s="941">
        <f t="shared" si="56"/>
        <v>0.0176982304099335</v>
      </c>
      <c r="H169" s="941">
        <f t="shared" si="56"/>
        <v>0.045592013300901256</v>
      </c>
      <c r="I169" s="941">
        <f t="shared" si="56"/>
        <v>0.009098601008814058</v>
      </c>
      <c r="J169" s="941">
        <f t="shared" si="56"/>
        <v>0.030206216051210787</v>
      </c>
    </row>
    <row r="170" spans="1:10" ht="12.75">
      <c r="A170" s="927">
        <f>A169+1</f>
        <v>116</v>
      </c>
      <c r="B170" s="150" t="str">
        <f>"Preferred Stock Capital Cost Rate (Ln "&amp;A160&amp;" * Ln "&amp;A165&amp;")"</f>
        <v>Preferred Stock Capital Cost Rate (Ln 110 * Ln 113)</v>
      </c>
      <c r="C170" s="941">
        <f t="shared" si="56"/>
        <v>0</v>
      </c>
      <c r="D170" s="941"/>
      <c r="E170" s="941">
        <f t="shared" si="56"/>
        <v>0</v>
      </c>
      <c r="F170" s="941">
        <f t="shared" si="56"/>
        <v>0</v>
      </c>
      <c r="G170" s="941">
        <f t="shared" si="56"/>
        <v>0</v>
      </c>
      <c r="H170" s="941">
        <f t="shared" si="56"/>
        <v>0</v>
      </c>
      <c r="I170" s="941">
        <f t="shared" si="56"/>
        <v>0</v>
      </c>
      <c r="J170" s="941">
        <f t="shared" si="56"/>
        <v>0</v>
      </c>
    </row>
    <row r="171" spans="1:10" ht="12.75">
      <c r="A171" s="927">
        <f>A170+1</f>
        <v>117</v>
      </c>
      <c r="B171" s="150" t="str">
        <f>"Common Equity Capital Cost Rate (Ln "&amp;A161&amp;" * Ln "&amp;A166&amp;")"</f>
        <v>Common Equity Capital Cost Rate (Ln 111 * Ln 114)</v>
      </c>
      <c r="C171" s="943">
        <f t="shared" si="56"/>
        <v>0.04991355558769804</v>
      </c>
      <c r="D171" s="943"/>
      <c r="E171" s="943">
        <f t="shared" si="56"/>
        <v>0.0629298946357342</v>
      </c>
      <c r="F171" s="943">
        <f t="shared" si="56"/>
        <v>0.06086464508771264</v>
      </c>
      <c r="G171" s="943">
        <f t="shared" si="56"/>
        <v>0.06991047181191683</v>
      </c>
      <c r="H171" s="943">
        <f t="shared" si="56"/>
        <v>0.04535965392339158</v>
      </c>
      <c r="I171" s="943">
        <f t="shared" si="56"/>
        <v>0.09498706179213837</v>
      </c>
      <c r="J171" s="943">
        <f t="shared" si="56"/>
        <v>0.0530265306186692</v>
      </c>
    </row>
    <row r="172" spans="1:10" ht="12.75">
      <c r="A172" s="927">
        <f>A171+1</f>
        <v>118</v>
      </c>
      <c r="B172" s="933" t="s">
        <v>724</v>
      </c>
      <c r="C172" s="944">
        <f aca="true" t="shared" si="57" ref="C172:J172">SUM(C169:C171)</f>
        <v>0.07526766508478758</v>
      </c>
      <c r="D172" s="944"/>
      <c r="E172" s="944">
        <f t="shared" si="57"/>
        <v>0.09018581440719045</v>
      </c>
      <c r="F172" s="944">
        <f t="shared" si="57"/>
        <v>0.0830999255736115</v>
      </c>
      <c r="G172" s="944">
        <f t="shared" si="57"/>
        <v>0.08760870222185033</v>
      </c>
      <c r="H172" s="944">
        <f t="shared" si="57"/>
        <v>0.09095166722429283</v>
      </c>
      <c r="I172" s="944">
        <f t="shared" si="57"/>
        <v>0.10408566280095242</v>
      </c>
      <c r="J172" s="944">
        <f t="shared" si="57"/>
        <v>0.08323274666987998</v>
      </c>
    </row>
    <row r="175" spans="1:10" ht="12.75">
      <c r="A175" s="1259" t="s">
        <v>703</v>
      </c>
      <c r="B175" s="1259"/>
      <c r="C175" s="1259"/>
      <c r="D175" s="1259"/>
      <c r="E175" s="1259"/>
      <c r="F175" s="1259"/>
      <c r="G175" s="1259"/>
      <c r="H175" s="1259"/>
      <c r="I175" s="1259"/>
      <c r="J175" s="1259"/>
    </row>
    <row r="176" spans="1:10" ht="12.75">
      <c r="A176" s="1259" t="s">
        <v>732</v>
      </c>
      <c r="B176" s="1259"/>
      <c r="C176" s="1259"/>
      <c r="D176" s="1259"/>
      <c r="E176" s="1259"/>
      <c r="F176" s="1259"/>
      <c r="G176" s="1259"/>
      <c r="H176" s="1259"/>
      <c r="I176" s="1259"/>
      <c r="J176" s="1259"/>
    </row>
    <row r="177" spans="1:10" ht="12.75">
      <c r="A177" s="1259" t="s">
        <v>178</v>
      </c>
      <c r="B177" s="1259"/>
      <c r="C177" s="1259"/>
      <c r="D177" s="1259"/>
      <c r="E177" s="1259"/>
      <c r="F177" s="1259"/>
      <c r="G177" s="1259"/>
      <c r="H177" s="1259"/>
      <c r="I177" s="1259"/>
      <c r="J177" s="1259"/>
    </row>
    <row r="179" spans="1:10" ht="52.5">
      <c r="A179" s="927" t="s">
        <v>608</v>
      </c>
      <c r="C179" s="928" t="s">
        <v>704</v>
      </c>
      <c r="D179" s="928"/>
      <c r="E179" s="928" t="s">
        <v>705</v>
      </c>
      <c r="F179" s="928" t="s">
        <v>706</v>
      </c>
      <c r="G179" s="928" t="s">
        <v>707</v>
      </c>
      <c r="H179" s="928" t="s">
        <v>708</v>
      </c>
      <c r="I179" s="928" t="s">
        <v>709</v>
      </c>
      <c r="J179" s="928" t="s">
        <v>710</v>
      </c>
    </row>
    <row r="180" ht="15">
      <c r="A180" s="658" t="s">
        <v>733</v>
      </c>
    </row>
    <row r="181" spans="1:10" ht="12.75">
      <c r="A181" s="927">
        <f>A172+1</f>
        <v>119</v>
      </c>
      <c r="B181" s="666" t="str">
        <f>"Average Bonds (Ln "&amp;A7&amp;" + Ln "&amp;A94&amp;") / 2"</f>
        <v>Average Bonds (Ln 1 + Ln 60) / 2</v>
      </c>
      <c r="C181" s="370">
        <f aca="true" t="shared" si="58" ref="C181:I185">AVERAGE(C7,C94)</f>
        <v>373961184</v>
      </c>
      <c r="D181" s="370"/>
      <c r="E181" s="370">
        <f t="shared" si="58"/>
        <v>0</v>
      </c>
      <c r="F181" s="370">
        <f t="shared" si="58"/>
        <v>0</v>
      </c>
      <c r="G181" s="370">
        <f t="shared" si="58"/>
        <v>0</v>
      </c>
      <c r="H181" s="370">
        <f t="shared" si="58"/>
        <v>0</v>
      </c>
      <c r="I181" s="370">
        <f t="shared" si="58"/>
        <v>0</v>
      </c>
      <c r="J181" s="370">
        <f>SUM(C181:I181)</f>
        <v>373961184</v>
      </c>
    </row>
    <row r="182" spans="1:10" ht="12.75">
      <c r="A182" s="927">
        <f>A181+1</f>
        <v>120</v>
      </c>
      <c r="B182" s="666" t="str">
        <f>"Less: Average Reacquired Bonds (Ln "&amp;A8&amp;" + Ln "&amp;A95&amp;") / 2"</f>
        <v>Less: Average Reacquired Bonds (Ln 2 + Ln 61) / 2</v>
      </c>
      <c r="C182" s="370">
        <f t="shared" si="58"/>
        <v>0</v>
      </c>
      <c r="D182" s="370"/>
      <c r="E182" s="370">
        <f t="shared" si="58"/>
        <v>40000000</v>
      </c>
      <c r="F182" s="370">
        <f t="shared" si="58"/>
        <v>0</v>
      </c>
      <c r="G182" s="370">
        <f t="shared" si="58"/>
        <v>0</v>
      </c>
      <c r="H182" s="370">
        <f t="shared" si="58"/>
        <v>402900000</v>
      </c>
      <c r="I182" s="370">
        <f t="shared" si="58"/>
        <v>0</v>
      </c>
      <c r="J182" s="370">
        <f>SUM(C182:I182)</f>
        <v>442900000</v>
      </c>
    </row>
    <row r="183" spans="1:10" ht="12.75">
      <c r="A183" s="927">
        <f>A182+1</f>
        <v>121</v>
      </c>
      <c r="B183" s="802" t="str">
        <f>"Average LT Advances from Assoc. Companies (Ln "&amp;A9&amp;" + Ln "&amp;A96&amp;") / 2"</f>
        <v>Average LT Advances from Assoc. Companies (Ln 3 + Ln 62) / 2</v>
      </c>
      <c r="C183" s="370">
        <f t="shared" si="58"/>
        <v>86000000</v>
      </c>
      <c r="D183" s="370"/>
      <c r="E183" s="370">
        <f t="shared" si="58"/>
        <v>0</v>
      </c>
      <c r="F183" s="370">
        <f t="shared" si="58"/>
        <v>10000000</v>
      </c>
      <c r="G183" s="370">
        <f t="shared" si="58"/>
        <v>20000000</v>
      </c>
      <c r="H183" s="370">
        <f t="shared" si="58"/>
        <v>0</v>
      </c>
      <c r="I183" s="370">
        <f t="shared" si="58"/>
        <v>25000000</v>
      </c>
      <c r="J183" s="370">
        <f>SUM(C183:I183)</f>
        <v>141000000</v>
      </c>
    </row>
    <row r="184" spans="1:10" ht="12.75">
      <c r="A184" s="927">
        <f>A183+1</f>
        <v>122</v>
      </c>
      <c r="B184" s="802" t="str">
        <f>"Average Senior Unsecured Notes (Ln "&amp;A10&amp;" + Ln "&amp;A97&amp;") / 2"</f>
        <v>Average Senior Unsecured Notes (Ln 4 + Ln 63) / 2</v>
      </c>
      <c r="C184" s="370">
        <f t="shared" si="58"/>
        <v>3634838381.5</v>
      </c>
      <c r="D184" s="370"/>
      <c r="E184" s="370">
        <f t="shared" si="58"/>
        <v>1634594525.5</v>
      </c>
      <c r="F184" s="370">
        <f t="shared" si="58"/>
        <v>775000000</v>
      </c>
      <c r="G184" s="370">
        <f t="shared" si="58"/>
        <v>0</v>
      </c>
      <c r="H184" s="370">
        <f t="shared" si="58"/>
        <v>2674352495</v>
      </c>
      <c r="I184" s="370">
        <f t="shared" si="58"/>
        <v>0</v>
      </c>
      <c r="J184" s="370">
        <f>SUM(C184:I184)</f>
        <v>8718785402</v>
      </c>
    </row>
    <row r="185" spans="1:10" ht="12.75">
      <c r="A185" s="927">
        <f>A184+1</f>
        <v>123</v>
      </c>
      <c r="B185" s="802" t="str">
        <f>"Less: Average Fair Value Hedges (See Note on Ln "&amp;A188&amp;" below)"</f>
        <v>Less: Average Fair Value Hedges (See Note on Ln 125 below)</v>
      </c>
      <c r="C185" s="945">
        <f t="shared" si="58"/>
        <v>0</v>
      </c>
      <c r="D185" s="945"/>
      <c r="E185" s="945">
        <f t="shared" si="58"/>
        <v>0</v>
      </c>
      <c r="F185" s="945">
        <f t="shared" si="58"/>
        <v>0</v>
      </c>
      <c r="G185" s="945">
        <f t="shared" si="58"/>
        <v>0</v>
      </c>
      <c r="H185" s="945">
        <f t="shared" si="58"/>
        <v>0</v>
      </c>
      <c r="I185" s="945">
        <f t="shared" si="58"/>
        <v>0</v>
      </c>
      <c r="J185" s="929">
        <f>SUM(C185:I185)</f>
        <v>0</v>
      </c>
    </row>
    <row r="186" spans="1:10" ht="12.75">
      <c r="A186" s="927">
        <f>A185+1</f>
        <v>124</v>
      </c>
      <c r="B186" s="667" t="s">
        <v>734</v>
      </c>
      <c r="C186" s="930">
        <f aca="true" t="shared" si="59" ref="C186:J186">C181-C182+C183+C184-C185</f>
        <v>4094799565.5</v>
      </c>
      <c r="D186" s="930"/>
      <c r="E186" s="930">
        <f t="shared" si="59"/>
        <v>1594594525.5</v>
      </c>
      <c r="F186" s="930">
        <f t="shared" si="59"/>
        <v>785000000</v>
      </c>
      <c r="G186" s="930">
        <f t="shared" si="59"/>
        <v>20000000</v>
      </c>
      <c r="H186" s="930">
        <f t="shared" si="59"/>
        <v>2271452495</v>
      </c>
      <c r="I186" s="930">
        <f t="shared" si="59"/>
        <v>25000000</v>
      </c>
      <c r="J186" s="930">
        <f t="shared" si="59"/>
        <v>8790846586</v>
      </c>
    </row>
    <row r="188" spans="1:10" s="942" customFormat="1" ht="12.75">
      <c r="A188" s="942">
        <f>A186+1</f>
        <v>125</v>
      </c>
      <c r="B188" s="1258" t="s">
        <v>876</v>
      </c>
      <c r="C188" s="1258"/>
      <c r="D188" s="1258"/>
      <c r="E188" s="1258"/>
      <c r="F188" s="1258"/>
      <c r="G188" s="1258"/>
      <c r="H188" s="1258"/>
      <c r="I188" s="1258"/>
      <c r="J188" s="1258"/>
    </row>
    <row r="189" spans="1:10" s="942" customFormat="1" ht="12.75">
      <c r="A189" s="994"/>
      <c r="B189" s="931"/>
      <c r="C189" s="931"/>
      <c r="D189" s="931"/>
      <c r="E189" s="931"/>
      <c r="F189" s="931"/>
      <c r="G189" s="931"/>
      <c r="H189" s="931"/>
      <c r="I189" s="931"/>
      <c r="J189" s="931"/>
    </row>
    <row r="190" spans="1:10" ht="15">
      <c r="A190" s="658" t="str">
        <f>"Development of "&amp;'Historic TCOS'!O1&amp;" Long Term Debt Interest Expense"</f>
        <v>Development of 2014 Long Term Debt Interest Expense</v>
      </c>
      <c r="B190" s="942"/>
      <c r="C190" s="942"/>
      <c r="D190" s="942"/>
      <c r="E190" s="942"/>
      <c r="F190" s="942"/>
      <c r="G190" s="942"/>
      <c r="H190" s="942"/>
      <c r="I190" s="942"/>
      <c r="J190" s="942"/>
    </row>
    <row r="191" spans="1:10" ht="12.75">
      <c r="A191" s="942">
        <f>A188+1</f>
        <v>126</v>
      </c>
      <c r="B191" s="802" t="str">
        <f aca="true" t="shared" si="60" ref="B191:I191">B17</f>
        <v>Interest on Long Term Debt (256-257.33.i)</v>
      </c>
      <c r="C191" s="481">
        <f t="shared" si="60"/>
        <v>198433109</v>
      </c>
      <c r="D191" s="481"/>
      <c r="E191" s="481">
        <f t="shared" si="60"/>
        <v>82484400</v>
      </c>
      <c r="F191" s="481">
        <f t="shared" si="60"/>
        <v>38642264</v>
      </c>
      <c r="G191" s="481">
        <f t="shared" si="60"/>
        <v>904000</v>
      </c>
      <c r="H191" s="481">
        <f t="shared" si="60"/>
        <v>121704036</v>
      </c>
      <c r="I191" s="481">
        <f t="shared" si="60"/>
        <v>1312500</v>
      </c>
      <c r="J191" s="481">
        <f aca="true" t="shared" si="61" ref="J191:J196">SUM(C191:I191)</f>
        <v>443480309</v>
      </c>
    </row>
    <row r="192" spans="1:10" ht="12.75">
      <c r="A192" s="942">
        <f aca="true" t="shared" si="62" ref="A192:A197">A191+1</f>
        <v>127</v>
      </c>
      <c r="B192" s="802" t="str">
        <f aca="true" t="shared" si="63" ref="B192:C196">B18</f>
        <v>Amort of Debt Discount &amp; Expense (117.63.c)</v>
      </c>
      <c r="C192" s="481">
        <f>C18</f>
        <v>3105002</v>
      </c>
      <c r="D192" s="481"/>
      <c r="E192" s="481">
        <f aca="true" t="shared" si="64" ref="E192:I193">E18</f>
        <v>2188650</v>
      </c>
      <c r="F192" s="481">
        <f t="shared" si="64"/>
        <v>517866</v>
      </c>
      <c r="G192" s="481">
        <f t="shared" si="64"/>
        <v>0</v>
      </c>
      <c r="H192" s="481">
        <f t="shared" si="64"/>
        <v>1580870</v>
      </c>
      <c r="I192" s="481">
        <f t="shared" si="64"/>
        <v>0</v>
      </c>
      <c r="J192" s="481">
        <f t="shared" si="61"/>
        <v>7392388</v>
      </c>
    </row>
    <row r="193" spans="1:10" ht="12.75">
      <c r="A193" s="942">
        <f t="shared" si="62"/>
        <v>128</v>
      </c>
      <c r="B193" s="802" t="str">
        <f t="shared" si="63"/>
        <v>Amort of Loss on Reacquired Debt (117.64.c)</v>
      </c>
      <c r="C193" s="481">
        <f t="shared" si="63"/>
        <v>7213006</v>
      </c>
      <c r="D193" s="481"/>
      <c r="E193" s="481">
        <f t="shared" si="64"/>
        <v>8235783</v>
      </c>
      <c r="F193" s="481">
        <f t="shared" si="64"/>
        <v>33635</v>
      </c>
      <c r="G193" s="481">
        <f t="shared" si="64"/>
        <v>0</v>
      </c>
      <c r="H193" s="481">
        <f t="shared" si="64"/>
        <v>1338683</v>
      </c>
      <c r="I193" s="481">
        <f t="shared" si="64"/>
        <v>0</v>
      </c>
      <c r="J193" s="481">
        <f t="shared" si="61"/>
        <v>16821107</v>
      </c>
    </row>
    <row r="194" spans="1:10" ht="12.75">
      <c r="A194" s="942">
        <f t="shared" si="62"/>
        <v>129</v>
      </c>
      <c r="B194" s="802" t="str">
        <f>B20</f>
        <v>Less: Amort of Premium on Debt (117.65.c)</v>
      </c>
      <c r="C194" s="481">
        <f aca="true" t="shared" si="65" ref="C194:I194">C20</f>
        <v>0</v>
      </c>
      <c r="D194" s="481"/>
      <c r="E194" s="481">
        <f t="shared" si="65"/>
        <v>0</v>
      </c>
      <c r="F194" s="481">
        <f t="shared" si="65"/>
        <v>0</v>
      </c>
      <c r="G194" s="481">
        <f t="shared" si="65"/>
        <v>0</v>
      </c>
      <c r="H194" s="481">
        <f t="shared" si="65"/>
        <v>0</v>
      </c>
      <c r="I194" s="481">
        <f t="shared" si="65"/>
        <v>0</v>
      </c>
      <c r="J194" s="370">
        <f t="shared" si="61"/>
        <v>0</v>
      </c>
    </row>
    <row r="195" spans="1:10" ht="12.75">
      <c r="A195" s="942">
        <f t="shared" si="62"/>
        <v>130</v>
      </c>
      <c r="B195" s="802" t="str">
        <f t="shared" si="63"/>
        <v>Less: Amort of Gain on Reacquired Debt (117.66.c)</v>
      </c>
      <c r="C195" s="481">
        <f>C21</f>
        <v>0</v>
      </c>
      <c r="D195" s="481"/>
      <c r="E195" s="481">
        <f aca="true" t="shared" si="66" ref="E195:I196">E21</f>
        <v>1712</v>
      </c>
      <c r="F195" s="481">
        <f t="shared" si="66"/>
        <v>0</v>
      </c>
      <c r="G195" s="481">
        <f t="shared" si="66"/>
        <v>0</v>
      </c>
      <c r="H195" s="481">
        <f t="shared" si="66"/>
        <v>0</v>
      </c>
      <c r="I195" s="481">
        <f t="shared" si="66"/>
        <v>0</v>
      </c>
      <c r="J195" s="370">
        <f t="shared" si="61"/>
        <v>1712</v>
      </c>
    </row>
    <row r="196" spans="1:10" ht="12.75">
      <c r="A196" s="942">
        <f t="shared" si="62"/>
        <v>131</v>
      </c>
      <c r="B196" s="995" t="str">
        <f t="shared" si="63"/>
        <v>Less: Hedge Interest on pp 256-257(i)</v>
      </c>
      <c r="C196" s="945">
        <f>C22</f>
        <v>1240531</v>
      </c>
      <c r="D196" s="945"/>
      <c r="E196" s="945">
        <f t="shared" si="66"/>
        <v>806279</v>
      </c>
      <c r="F196" s="945">
        <f t="shared" si="66"/>
        <v>92956</v>
      </c>
      <c r="G196" s="945">
        <f t="shared" si="66"/>
        <v>0</v>
      </c>
      <c r="H196" s="945">
        <f t="shared" si="66"/>
        <v>-2097663</v>
      </c>
      <c r="I196" s="945">
        <f t="shared" si="66"/>
        <v>0</v>
      </c>
      <c r="J196" s="929">
        <f t="shared" si="61"/>
        <v>42103</v>
      </c>
    </row>
    <row r="197" spans="1:10" ht="12.75">
      <c r="A197" s="942">
        <f t="shared" si="62"/>
        <v>132</v>
      </c>
      <c r="B197" s="996" t="str">
        <f>""&amp;'Historic TCOS'!O1&amp;" LTD Interest Expense"</f>
        <v>2014 LTD Interest Expense</v>
      </c>
      <c r="C197" s="988">
        <f aca="true" t="shared" si="67" ref="C197:J197">C191+C192+C193-C194-C195-C196</f>
        <v>207510586</v>
      </c>
      <c r="D197" s="988"/>
      <c r="E197" s="988">
        <f t="shared" si="67"/>
        <v>92100842</v>
      </c>
      <c r="F197" s="988">
        <f t="shared" si="67"/>
        <v>39100809</v>
      </c>
      <c r="G197" s="988">
        <f t="shared" si="67"/>
        <v>904000</v>
      </c>
      <c r="H197" s="988">
        <f t="shared" si="67"/>
        <v>126721252</v>
      </c>
      <c r="I197" s="988">
        <f t="shared" si="67"/>
        <v>1312500</v>
      </c>
      <c r="J197" s="988">
        <f t="shared" si="67"/>
        <v>467649989</v>
      </c>
    </row>
    <row r="198" spans="1:10" ht="12.75">
      <c r="A198" s="942"/>
      <c r="B198" s="942"/>
      <c r="C198" s="942"/>
      <c r="D198" s="942"/>
      <c r="E198" s="942"/>
      <c r="F198" s="942"/>
      <c r="G198" s="942"/>
      <c r="H198" s="942"/>
      <c r="I198" s="942"/>
      <c r="J198" s="942"/>
    </row>
    <row r="199" spans="1:10" ht="15">
      <c r="A199" s="658" t="str">
        <f>""&amp;'Historic TCOS'!O1&amp;" Cost of Preferred Stock and Preferred Dividends"</f>
        <v>2014 Cost of Preferred Stock and Preferred Dividends</v>
      </c>
      <c r="B199" s="997"/>
      <c r="C199" s="997"/>
      <c r="D199" s="997"/>
      <c r="E199" s="997"/>
      <c r="F199" s="942"/>
      <c r="G199" s="942"/>
      <c r="H199" s="942"/>
      <c r="I199" s="942"/>
      <c r="J199" s="942"/>
    </row>
    <row r="200" spans="1:10" ht="12.75">
      <c r="A200" s="942">
        <f>A197+1</f>
        <v>133</v>
      </c>
      <c r="B200" s="150" t="str">
        <f>"Average Balance of Preferred Stock (Ln "&amp;A50&amp;" + Ln "&amp;A137&amp;") / 2"</f>
        <v>Average Balance of Preferred Stock (Ln 35 + Ln 94) / 2</v>
      </c>
      <c r="C200" s="988">
        <f>AVERAGE(C50,C137)</f>
        <v>0</v>
      </c>
      <c r="D200" s="988"/>
      <c r="E200" s="988">
        <f aca="true" t="shared" si="68" ref="E200:J200">AVERAGE(E50,E137)</f>
        <v>0</v>
      </c>
      <c r="F200" s="988">
        <f t="shared" si="68"/>
        <v>0</v>
      </c>
      <c r="G200" s="988">
        <f t="shared" si="68"/>
        <v>0</v>
      </c>
      <c r="H200" s="988">
        <f t="shared" si="68"/>
        <v>0</v>
      </c>
      <c r="I200" s="988">
        <f t="shared" si="68"/>
        <v>0</v>
      </c>
      <c r="J200" s="988">
        <f t="shared" si="68"/>
        <v>0</v>
      </c>
    </row>
    <row r="201" spans="1:10" ht="12.75">
      <c r="A201" s="942">
        <f>A200+1</f>
        <v>134</v>
      </c>
      <c r="B201" s="150" t="str">
        <f>""&amp;'Historic TCOS'!O1&amp;" Preferred Dividends (Ln "&amp;A51&amp;")"</f>
        <v>2014 Preferred Dividends (Ln 36)</v>
      </c>
      <c r="C201" s="988">
        <f>C51</f>
        <v>0</v>
      </c>
      <c r="D201" s="988"/>
      <c r="E201" s="988">
        <f aca="true" t="shared" si="69" ref="E201:J201">E51</f>
        <v>0</v>
      </c>
      <c r="F201" s="988">
        <f t="shared" si="69"/>
        <v>0</v>
      </c>
      <c r="G201" s="988">
        <f t="shared" si="69"/>
        <v>0</v>
      </c>
      <c r="H201" s="988">
        <f t="shared" si="69"/>
        <v>0</v>
      </c>
      <c r="I201" s="988">
        <f t="shared" si="69"/>
        <v>0</v>
      </c>
      <c r="J201" s="988">
        <f t="shared" si="69"/>
        <v>0</v>
      </c>
    </row>
    <row r="202" ht="12.75">
      <c r="B202" s="994"/>
    </row>
    <row r="203" ht="15">
      <c r="A203" s="658" t="s">
        <v>735</v>
      </c>
    </row>
    <row r="204" spans="1:10" ht="12.75">
      <c r="A204" s="927">
        <f>A201+1</f>
        <v>135</v>
      </c>
      <c r="B204" s="659" t="str">
        <f>"Average Proprietary Capital (Ln "&amp;A54&amp;" + Ln "&amp;A141&amp;") / 2"</f>
        <v>Average Proprietary Capital (Ln 37 + Ln 96) / 2</v>
      </c>
      <c r="C204" s="938">
        <f aca="true" t="shared" si="70" ref="C204:I204">AVERAGE(C54,C141)</f>
        <v>3299131077.5</v>
      </c>
      <c r="D204" s="938"/>
      <c r="E204" s="938">
        <f t="shared" si="70"/>
        <v>1938051970</v>
      </c>
      <c r="F204" s="938">
        <f t="shared" si="70"/>
        <v>751506243.5</v>
      </c>
      <c r="G204" s="938">
        <f t="shared" si="70"/>
        <v>31179569.5</v>
      </c>
      <c r="H204" s="938">
        <f t="shared" si="70"/>
        <v>1802737486.5</v>
      </c>
      <c r="I204" s="938">
        <f t="shared" si="70"/>
        <v>109349069.5</v>
      </c>
      <c r="J204" s="934">
        <f>SUM(C204:I204)</f>
        <v>7931955416.5</v>
      </c>
    </row>
    <row r="205" spans="1:10" ht="12.75">
      <c r="A205" s="927">
        <f>A204+1</f>
        <v>136</v>
      </c>
      <c r="B205" s="659" t="str">
        <f>"Less: Average Preferred Stock (Ln "&amp;A200&amp;" Above)"</f>
        <v>Less: Average Preferred Stock (Ln 133 Above)</v>
      </c>
      <c r="C205" s="938">
        <f aca="true" t="shared" si="71" ref="C205:I205">C200</f>
        <v>0</v>
      </c>
      <c r="D205" s="938"/>
      <c r="E205" s="938">
        <f t="shared" si="71"/>
        <v>0</v>
      </c>
      <c r="F205" s="938">
        <f t="shared" si="71"/>
        <v>0</v>
      </c>
      <c r="G205" s="938">
        <f t="shared" si="71"/>
        <v>0</v>
      </c>
      <c r="H205" s="938">
        <f t="shared" si="71"/>
        <v>0</v>
      </c>
      <c r="I205" s="938">
        <f t="shared" si="71"/>
        <v>0</v>
      </c>
      <c r="J205" s="934">
        <f>SUM(C205:I205)</f>
        <v>0</v>
      </c>
    </row>
    <row r="206" spans="1:10" ht="12.75">
      <c r="A206" s="927">
        <f>A205+1</f>
        <v>137</v>
      </c>
      <c r="B206" s="659" t="str">
        <f>"Less: Average Account 216.1 (Ln "&amp;A56&amp;" + Ln "&amp;A143&amp;") / 2"</f>
        <v>Less: Average Account 216.1 (Ln 39 + Ln 98) / 2</v>
      </c>
      <c r="C206" s="938">
        <f aca="true" t="shared" si="72" ref="C206:I207">AVERAGE(C56,C143)</f>
        <v>1644760.5</v>
      </c>
      <c r="D206" s="938"/>
      <c r="E206" s="938">
        <f t="shared" si="72"/>
        <v>-64599</v>
      </c>
      <c r="F206" s="938">
        <f t="shared" si="72"/>
        <v>0</v>
      </c>
      <c r="G206" s="938">
        <f t="shared" si="72"/>
        <v>0</v>
      </c>
      <c r="H206" s="938">
        <f t="shared" si="72"/>
        <v>4915704</v>
      </c>
      <c r="I206" s="938">
        <f t="shared" si="72"/>
        <v>0</v>
      </c>
      <c r="J206" s="934">
        <f>SUM(C206:I206)</f>
        <v>6495865.5</v>
      </c>
    </row>
    <row r="207" spans="1:10" ht="12.75">
      <c r="A207" s="927">
        <f>A206+1</f>
        <v>138</v>
      </c>
      <c r="B207" s="659" t="str">
        <f>"Less: Average Account 219.1 (Ln "&amp;A57&amp;" + Ln "&amp;A144&amp;") / 2"</f>
        <v>Less: Average Account 219.1 (Ln 40 + Ln 99) / 2</v>
      </c>
      <c r="C207" s="946">
        <f t="shared" si="72"/>
        <v>3991586</v>
      </c>
      <c r="D207" s="946"/>
      <c r="E207" s="946">
        <f t="shared" si="72"/>
        <v>-14934237</v>
      </c>
      <c r="F207" s="946">
        <f t="shared" si="72"/>
        <v>-6377652.5</v>
      </c>
      <c r="G207" s="946">
        <f t="shared" si="72"/>
        <v>1648</v>
      </c>
      <c r="H207" s="946">
        <f t="shared" si="72"/>
        <v>6340652.5</v>
      </c>
      <c r="I207" s="946">
        <f t="shared" si="72"/>
        <v>872193.5</v>
      </c>
      <c r="J207" s="939">
        <f>SUM(C207:I207)</f>
        <v>-10105809.5</v>
      </c>
    </row>
    <row r="208" spans="1:10" ht="12.75">
      <c r="A208" s="927">
        <f>A207+1</f>
        <v>139</v>
      </c>
      <c r="B208" s="664" t="s">
        <v>424</v>
      </c>
      <c r="C208" s="940">
        <f aca="true" t="shared" si="73" ref="C208:J208">C204-C205-C206-C207</f>
        <v>3293494731</v>
      </c>
      <c r="D208" s="940"/>
      <c r="E208" s="940">
        <f t="shared" si="73"/>
        <v>1953050806</v>
      </c>
      <c r="F208" s="940">
        <f t="shared" si="73"/>
        <v>757883896</v>
      </c>
      <c r="G208" s="940">
        <f t="shared" si="73"/>
        <v>31177921.5</v>
      </c>
      <c r="H208" s="940">
        <f t="shared" si="73"/>
        <v>1791481130</v>
      </c>
      <c r="I208" s="940">
        <f t="shared" si="73"/>
        <v>108476876</v>
      </c>
      <c r="J208" s="940">
        <f t="shared" si="73"/>
        <v>7935565360.5</v>
      </c>
    </row>
    <row r="210" ht="15">
      <c r="A210" s="658" t="s">
        <v>723</v>
      </c>
    </row>
    <row r="211" spans="1:10" ht="12.75">
      <c r="A211" s="927">
        <f>A208+1</f>
        <v>140</v>
      </c>
      <c r="B211" s="150" t="str">
        <f>"Average Balance of Long Term Debt (Ln "&amp;A186&amp;" Above)"</f>
        <v>Average Balance of Long Term Debt (Ln 124 Above)</v>
      </c>
      <c r="C211" s="934">
        <f aca="true" t="shared" si="74" ref="C211:J211">C186</f>
        <v>4094799565.5</v>
      </c>
      <c r="D211" s="934"/>
      <c r="E211" s="934">
        <f t="shared" si="74"/>
        <v>1594594525.5</v>
      </c>
      <c r="F211" s="934">
        <f t="shared" si="74"/>
        <v>785000000</v>
      </c>
      <c r="G211" s="934">
        <f t="shared" si="74"/>
        <v>20000000</v>
      </c>
      <c r="H211" s="934">
        <f t="shared" si="74"/>
        <v>2271452495</v>
      </c>
      <c r="I211" s="934">
        <f t="shared" si="74"/>
        <v>25000000</v>
      </c>
      <c r="J211" s="934">
        <f t="shared" si="74"/>
        <v>8790846586</v>
      </c>
    </row>
    <row r="212" spans="1:10" ht="12.75">
      <c r="A212" s="927">
        <f>A211+1</f>
        <v>141</v>
      </c>
      <c r="B212" s="150" t="str">
        <f>"Average Balance of Preferred Stock (Ln "&amp;A200&amp;" Above)"</f>
        <v>Average Balance of Preferred Stock (Ln 133 Above)</v>
      </c>
      <c r="C212" s="934">
        <f aca="true" t="shared" si="75" ref="C212:J212">C200</f>
        <v>0</v>
      </c>
      <c r="D212" s="934"/>
      <c r="E212" s="934">
        <f t="shared" si="75"/>
        <v>0</v>
      </c>
      <c r="F212" s="934">
        <f t="shared" si="75"/>
        <v>0</v>
      </c>
      <c r="G212" s="934">
        <f t="shared" si="75"/>
        <v>0</v>
      </c>
      <c r="H212" s="934">
        <f t="shared" si="75"/>
        <v>0</v>
      </c>
      <c r="I212" s="934">
        <f t="shared" si="75"/>
        <v>0</v>
      </c>
      <c r="J212" s="934">
        <f t="shared" si="75"/>
        <v>0</v>
      </c>
    </row>
    <row r="213" spans="1:10" ht="12.75">
      <c r="A213" s="927">
        <f>A212+1</f>
        <v>142</v>
      </c>
      <c r="B213" s="150" t="str">
        <f>"Average Balance of Common Equity (Ln "&amp;A208&amp;" Above)"</f>
        <v>Average Balance of Common Equity (Ln 139 Above)</v>
      </c>
      <c r="C213" s="939">
        <f aca="true" t="shared" si="76" ref="C213:J213">C208</f>
        <v>3293494731</v>
      </c>
      <c r="D213" s="939"/>
      <c r="E213" s="939">
        <f t="shared" si="76"/>
        <v>1953050806</v>
      </c>
      <c r="F213" s="939">
        <f t="shared" si="76"/>
        <v>757883896</v>
      </c>
      <c r="G213" s="939">
        <f t="shared" si="76"/>
        <v>31177921.5</v>
      </c>
      <c r="H213" s="939">
        <f t="shared" si="76"/>
        <v>1791481130</v>
      </c>
      <c r="I213" s="939">
        <f t="shared" si="76"/>
        <v>108476876</v>
      </c>
      <c r="J213" s="939">
        <f t="shared" si="76"/>
        <v>7935565360.5</v>
      </c>
    </row>
    <row r="214" spans="1:12" ht="12.75">
      <c r="A214" s="927">
        <f>A213+1</f>
        <v>143</v>
      </c>
      <c r="B214" s="927" t="s">
        <v>736</v>
      </c>
      <c r="C214" s="934">
        <f aca="true" t="shared" si="77" ref="C214:J214">SUM(C211:C213)</f>
        <v>7388294296.5</v>
      </c>
      <c r="D214" s="934"/>
      <c r="E214" s="934">
        <f t="shared" si="77"/>
        <v>3547645331.5</v>
      </c>
      <c r="F214" s="934">
        <f t="shared" si="77"/>
        <v>1542883896</v>
      </c>
      <c r="G214" s="934">
        <f t="shared" si="77"/>
        <v>51177921.5</v>
      </c>
      <c r="H214" s="934">
        <f t="shared" si="77"/>
        <v>4062933625</v>
      </c>
      <c r="I214" s="934">
        <f t="shared" si="77"/>
        <v>133476876</v>
      </c>
      <c r="J214" s="934">
        <f t="shared" si="77"/>
        <v>16726411946.5</v>
      </c>
      <c r="L214" s="963"/>
    </row>
    <row r="216" spans="1:10" ht="12.75">
      <c r="A216" s="927">
        <f>A214+1</f>
        <v>144</v>
      </c>
      <c r="B216" s="150" t="str">
        <f>"Average Balance of LTD Capital Shares (Ln "&amp;A211&amp;" / Ln "&amp;A214&amp;")"</f>
        <v>Average Balance of LTD Capital Shares (Ln 140 / Ln 143)</v>
      </c>
      <c r="C216" s="941">
        <f aca="true" t="shared" si="78" ref="C216:I216">C211/C214</f>
        <v>0.554227999206772</v>
      </c>
      <c r="D216" s="941"/>
      <c r="E216" s="941">
        <f t="shared" si="78"/>
        <v>0.44947969047001113</v>
      </c>
      <c r="F216" s="941">
        <f t="shared" si="78"/>
        <v>0.5087874739214985</v>
      </c>
      <c r="G216" s="941">
        <f t="shared" si="78"/>
        <v>0.3907935182557189</v>
      </c>
      <c r="H216" s="941">
        <f t="shared" si="78"/>
        <v>0.5590670940384855</v>
      </c>
      <c r="I216" s="941">
        <f t="shared" si="78"/>
        <v>0.1872983602043548</v>
      </c>
      <c r="J216" s="941">
        <f>J211/J214</f>
        <v>0.5255667870741091</v>
      </c>
    </row>
    <row r="217" spans="1:10" ht="12.75">
      <c r="A217" s="927">
        <f>A216+1</f>
        <v>145</v>
      </c>
      <c r="B217" s="150" t="str">
        <f>"Average Balance of Preferred Stock Capital Shares (Ln "&amp;A212&amp;" / Ln "&amp;A214&amp;")"</f>
        <v>Average Balance of Preferred Stock Capital Shares (Ln 141 / Ln 143)</v>
      </c>
      <c r="C217" s="941">
        <f aca="true" t="shared" si="79" ref="C217:I217">C212/C214</f>
        <v>0</v>
      </c>
      <c r="D217" s="941"/>
      <c r="E217" s="941">
        <f t="shared" si="79"/>
        <v>0</v>
      </c>
      <c r="F217" s="941">
        <f t="shared" si="79"/>
        <v>0</v>
      </c>
      <c r="G217" s="941">
        <f t="shared" si="79"/>
        <v>0</v>
      </c>
      <c r="H217" s="941">
        <f t="shared" si="79"/>
        <v>0</v>
      </c>
      <c r="I217" s="941">
        <f t="shared" si="79"/>
        <v>0</v>
      </c>
      <c r="J217" s="941">
        <f>J212/J214</f>
        <v>0</v>
      </c>
    </row>
    <row r="218" spans="1:10" ht="12.75">
      <c r="A218" s="942">
        <f>A217+1</f>
        <v>146</v>
      </c>
      <c r="B218" s="150" t="str">
        <f>"Average Balance of Common Equity Capital Shares (Ln "&amp;A213&amp;" / Ln "&amp;A214&amp;")"</f>
        <v>Average Balance of Common Equity Capital Shares (Ln 142 / Ln 143)</v>
      </c>
      <c r="C218" s="829">
        <f aca="true" t="shared" si="80" ref="C218:I218">C213/C214</f>
        <v>0.445772000793228</v>
      </c>
      <c r="D218" s="829"/>
      <c r="E218" s="829">
        <f t="shared" si="80"/>
        <v>0.5505203095299889</v>
      </c>
      <c r="F218" s="829">
        <f t="shared" si="80"/>
        <v>0.4912125260785015</v>
      </c>
      <c r="G218" s="829">
        <f t="shared" si="80"/>
        <v>0.609206481744281</v>
      </c>
      <c r="H218" s="829">
        <f t="shared" si="80"/>
        <v>0.44093290596151447</v>
      </c>
      <c r="I218" s="829">
        <f t="shared" si="80"/>
        <v>0.8127016397956452</v>
      </c>
      <c r="J218" s="829">
        <f>J213/J214</f>
        <v>0.4744332129258909</v>
      </c>
    </row>
    <row r="219" spans="1:10" ht="12.75">
      <c r="A219" s="942"/>
      <c r="B219" s="150"/>
      <c r="C219" s="829"/>
      <c r="D219" s="829"/>
      <c r="E219" s="829"/>
      <c r="F219" s="829"/>
      <c r="G219" s="829"/>
      <c r="H219" s="829"/>
      <c r="I219" s="829"/>
      <c r="J219" s="829"/>
    </row>
    <row r="220" spans="1:10" ht="12.75">
      <c r="A220" s="942">
        <f>A218+1</f>
        <v>147</v>
      </c>
      <c r="B220" s="660" t="s">
        <v>725</v>
      </c>
      <c r="C220" s="1088">
        <v>1</v>
      </c>
      <c r="D220" s="1088"/>
      <c r="E220" s="1088">
        <v>1</v>
      </c>
      <c r="F220" s="1088">
        <v>1</v>
      </c>
      <c r="G220" s="1088">
        <v>1</v>
      </c>
      <c r="H220" s="1088">
        <v>0.51</v>
      </c>
      <c r="I220" s="1088">
        <v>1</v>
      </c>
      <c r="J220" s="1088">
        <v>0.5</v>
      </c>
    </row>
    <row r="221" spans="1:10" ht="12.75">
      <c r="A221" s="942"/>
      <c r="B221" s="150"/>
      <c r="C221" s="829"/>
      <c r="D221" s="829"/>
      <c r="E221" s="829"/>
      <c r="F221" s="829"/>
      <c r="G221" s="829"/>
      <c r="H221" s="829"/>
      <c r="I221" s="829"/>
      <c r="J221" s="829"/>
    </row>
    <row r="222" spans="1:10" ht="12.75">
      <c r="A222" s="942">
        <f>A220+1</f>
        <v>148</v>
      </c>
      <c r="B222" s="150" t="s">
        <v>726</v>
      </c>
      <c r="C222" s="829">
        <f aca="true" t="shared" si="81" ref="C222:I222">IF(C218&gt;C220,1-C223-C224,C216)</f>
        <v>0.554227999206772</v>
      </c>
      <c r="D222" s="829"/>
      <c r="E222" s="829">
        <f t="shared" si="81"/>
        <v>0.44947969047001113</v>
      </c>
      <c r="F222" s="829">
        <f t="shared" si="81"/>
        <v>0.5087874739214985</v>
      </c>
      <c r="G222" s="829">
        <f t="shared" si="81"/>
        <v>0.3907935182557189</v>
      </c>
      <c r="H222" s="829">
        <f t="shared" si="81"/>
        <v>0.5590670940384855</v>
      </c>
      <c r="I222" s="829">
        <f t="shared" si="81"/>
        <v>0.1872983602043548</v>
      </c>
      <c r="J222" s="829">
        <f>IF(J224&gt;J220,1-J223-J224,SUMPRODUCT(C222:I222,C214:I214)/J214)</f>
        <v>0.5255667870741091</v>
      </c>
    </row>
    <row r="223" spans="1:10" ht="12.75">
      <c r="A223" s="942">
        <f>A222+1</f>
        <v>149</v>
      </c>
      <c r="B223" s="150" t="s">
        <v>727</v>
      </c>
      <c r="C223" s="829">
        <f aca="true" t="shared" si="82" ref="C223:J223">C217</f>
        <v>0</v>
      </c>
      <c r="D223" s="829"/>
      <c r="E223" s="829">
        <f t="shared" si="82"/>
        <v>0</v>
      </c>
      <c r="F223" s="829">
        <f t="shared" si="82"/>
        <v>0</v>
      </c>
      <c r="G223" s="829">
        <f t="shared" si="82"/>
        <v>0</v>
      </c>
      <c r="H223" s="829">
        <f t="shared" si="82"/>
        <v>0</v>
      </c>
      <c r="I223" s="829">
        <f t="shared" si="82"/>
        <v>0</v>
      </c>
      <c r="J223" s="829">
        <f t="shared" si="82"/>
        <v>0</v>
      </c>
    </row>
    <row r="224" spans="1:10" ht="12.75">
      <c r="A224" s="942">
        <f>A223+1</f>
        <v>150</v>
      </c>
      <c r="B224" s="150" t="s">
        <v>728</v>
      </c>
      <c r="C224" s="829">
        <f aca="true" t="shared" si="83" ref="C224:I224">IF(C218&gt;C220,C220,C218)</f>
        <v>0.445772000793228</v>
      </c>
      <c r="D224" s="829"/>
      <c r="E224" s="829">
        <f t="shared" si="83"/>
        <v>0.5505203095299889</v>
      </c>
      <c r="F224" s="829">
        <f t="shared" si="83"/>
        <v>0.4912125260785015</v>
      </c>
      <c r="G224" s="829">
        <f t="shared" si="83"/>
        <v>0.609206481744281</v>
      </c>
      <c r="H224" s="829">
        <f t="shared" si="83"/>
        <v>0.44093290596151447</v>
      </c>
      <c r="I224" s="829">
        <f t="shared" si="83"/>
        <v>0.8127016397956452</v>
      </c>
      <c r="J224" s="829">
        <f>IF(SUMPRODUCT(C224:I224,C214:I214)/J214&gt;J220,J220,SUMPRODUCT(C224:I224,C214:I214)/J214)</f>
        <v>0.4744332129258909</v>
      </c>
    </row>
    <row r="225" spans="1:10" ht="12.75">
      <c r="A225" s="942"/>
      <c r="B225" s="150"/>
      <c r="C225" s="829"/>
      <c r="D225" s="829"/>
      <c r="E225" s="829"/>
      <c r="F225" s="829"/>
      <c r="G225" s="829"/>
      <c r="H225" s="829"/>
      <c r="I225" s="829"/>
      <c r="J225" s="829"/>
    </row>
    <row r="226" spans="1:10" ht="15">
      <c r="A226" s="658" t="s">
        <v>729</v>
      </c>
      <c r="B226" s="942"/>
      <c r="C226" s="942"/>
      <c r="D226" s="942"/>
      <c r="E226" s="942"/>
      <c r="F226" s="942"/>
      <c r="G226" s="942"/>
      <c r="H226" s="942"/>
      <c r="I226" s="942"/>
      <c r="J226" s="942"/>
    </row>
    <row r="227" spans="1:10" ht="12.75">
      <c r="A227" s="942">
        <f>A224+1</f>
        <v>151</v>
      </c>
      <c r="B227" s="150" t="str">
        <f>"LTD Capital Cost Rate (Ln "&amp;A197&amp;" / Ln "&amp;A186&amp;")"</f>
        <v>LTD Capital Cost Rate (Ln 132 / Ln 124)</v>
      </c>
      <c r="C227" s="829">
        <f aca="true" t="shared" si="84" ref="C227:J227">C197/C186</f>
        <v>0.05067661620078874</v>
      </c>
      <c r="D227" s="829"/>
      <c r="E227" s="829">
        <f t="shared" si="84"/>
        <v>0.05775815765523271</v>
      </c>
      <c r="F227" s="829">
        <f t="shared" si="84"/>
        <v>0.049809947770700636</v>
      </c>
      <c r="G227" s="829">
        <f t="shared" si="84"/>
        <v>0.0452</v>
      </c>
      <c r="H227" s="829">
        <f t="shared" si="84"/>
        <v>0.055788642852510985</v>
      </c>
      <c r="I227" s="829">
        <f t="shared" si="84"/>
        <v>0.0525</v>
      </c>
      <c r="J227" s="829">
        <f t="shared" si="84"/>
        <v>0.053197378025543446</v>
      </c>
    </row>
    <row r="228" spans="1:10" ht="12.75">
      <c r="A228" s="942">
        <f>A227+1</f>
        <v>152</v>
      </c>
      <c r="B228" s="150" t="str">
        <f>"Preferred Stock Capital Cost Rate (Ln "&amp;A201&amp;" / Ln "&amp;A200&amp;")"</f>
        <v>Preferred Stock Capital Cost Rate (Ln 134 / Ln 133)</v>
      </c>
      <c r="C228" s="829">
        <f aca="true" t="shared" si="85" ref="C228:J228">IF(C200=0,0,C201/C200)</f>
        <v>0</v>
      </c>
      <c r="D228" s="829"/>
      <c r="E228" s="829">
        <f t="shared" si="85"/>
        <v>0</v>
      </c>
      <c r="F228" s="829">
        <f t="shared" si="85"/>
        <v>0</v>
      </c>
      <c r="G228" s="829">
        <f t="shared" si="85"/>
        <v>0</v>
      </c>
      <c r="H228" s="829">
        <f t="shared" si="85"/>
        <v>0</v>
      </c>
      <c r="I228" s="829">
        <f t="shared" si="85"/>
        <v>0</v>
      </c>
      <c r="J228" s="829">
        <f t="shared" si="85"/>
        <v>0</v>
      </c>
    </row>
    <row r="229" spans="1:10" ht="12.75">
      <c r="A229" s="942">
        <f>A228+1</f>
        <v>153</v>
      </c>
      <c r="B229" s="150" t="s">
        <v>730</v>
      </c>
      <c r="C229" s="829">
        <v>0.1149</v>
      </c>
      <c r="D229" s="829"/>
      <c r="E229" s="829">
        <v>0.1149</v>
      </c>
      <c r="F229" s="829">
        <v>0.1149</v>
      </c>
      <c r="G229" s="829">
        <v>0.1149</v>
      </c>
      <c r="H229" s="829">
        <v>0.1149</v>
      </c>
      <c r="I229" s="829">
        <v>0.1149</v>
      </c>
      <c r="J229" s="829">
        <v>0.1149</v>
      </c>
    </row>
    <row r="230" spans="1:10" ht="12.75">
      <c r="A230" s="942"/>
      <c r="B230" s="942"/>
      <c r="C230" s="942"/>
      <c r="D230" s="942"/>
      <c r="E230" s="942"/>
      <c r="F230" s="942"/>
      <c r="G230" s="942"/>
      <c r="H230" s="942"/>
      <c r="I230" s="942"/>
      <c r="J230" s="942"/>
    </row>
    <row r="231" spans="1:10" ht="15">
      <c r="A231" s="658" t="s">
        <v>731</v>
      </c>
      <c r="B231" s="942"/>
      <c r="C231" s="942"/>
      <c r="D231" s="942"/>
      <c r="E231" s="942"/>
      <c r="F231" s="942"/>
      <c r="G231" s="942"/>
      <c r="H231" s="942"/>
      <c r="I231" s="942"/>
      <c r="J231" s="942"/>
    </row>
    <row r="232" spans="1:10" ht="12.75">
      <c r="A232" s="942">
        <f>A229+1</f>
        <v>154</v>
      </c>
      <c r="B232" s="150" t="str">
        <f>"LTD Weighted Capital Cost Rate (Ln "&amp;A222&amp;" * Ln "&amp;A227&amp;")"</f>
        <v>LTD Weighted Capital Cost Rate (Ln 148 * Ln 151)</v>
      </c>
      <c r="C232" s="829">
        <f aca="true" t="shared" si="86" ref="C232:J234">C222*C227</f>
        <v>0.02808639960353263</v>
      </c>
      <c r="D232" s="829"/>
      <c r="E232" s="829">
        <f t="shared" si="86"/>
        <v>0.025961118824992104</v>
      </c>
      <c r="F232" s="829">
        <f>F222*F227</f>
        <v>0.02534267750241655</v>
      </c>
      <c r="G232" s="829">
        <f t="shared" si="86"/>
        <v>0.017663867025158493</v>
      </c>
      <c r="H232" s="829">
        <f t="shared" si="86"/>
        <v>0.031189594439904243</v>
      </c>
      <c r="I232" s="829">
        <f t="shared" si="86"/>
        <v>0.009833163910728627</v>
      </c>
      <c r="J232" s="829">
        <f t="shared" si="86"/>
        <v>0.02795877504965168</v>
      </c>
    </row>
    <row r="233" spans="1:10" ht="12.75">
      <c r="A233" s="942">
        <f>A232+1</f>
        <v>155</v>
      </c>
      <c r="B233" s="150" t="str">
        <f>"Preferred Stock Capital Cost Rate (Ln "&amp;A223&amp;" * Ln "&amp;A228&amp;")"</f>
        <v>Preferred Stock Capital Cost Rate (Ln 149 * Ln 152)</v>
      </c>
      <c r="C233" s="829">
        <f t="shared" si="86"/>
        <v>0</v>
      </c>
      <c r="D233" s="829"/>
      <c r="E233" s="829">
        <f t="shared" si="86"/>
        <v>0</v>
      </c>
      <c r="F233" s="829">
        <f>F223*F228</f>
        <v>0</v>
      </c>
      <c r="G233" s="829">
        <f t="shared" si="86"/>
        <v>0</v>
      </c>
      <c r="H233" s="829">
        <f t="shared" si="86"/>
        <v>0</v>
      </c>
      <c r="I233" s="829">
        <f t="shared" si="86"/>
        <v>0</v>
      </c>
      <c r="J233" s="829">
        <f t="shared" si="86"/>
        <v>0</v>
      </c>
    </row>
    <row r="234" spans="1:10" ht="12.75">
      <c r="A234" s="942">
        <f>A233+1</f>
        <v>156</v>
      </c>
      <c r="B234" s="150" t="str">
        <f>"Common Equity Capital Cost Rate (Ln "&amp;A224&amp;" * Ln "&amp;A229&amp;")"</f>
        <v>Common Equity Capital Cost Rate (Ln 150 * Ln 153)</v>
      </c>
      <c r="C234" s="998">
        <f t="shared" si="86"/>
        <v>0.051219202891141895</v>
      </c>
      <c r="D234" s="998"/>
      <c r="E234" s="998">
        <f t="shared" si="86"/>
        <v>0.06325478356499573</v>
      </c>
      <c r="F234" s="998">
        <f t="shared" si="86"/>
        <v>0.056440319246419825</v>
      </c>
      <c r="G234" s="998">
        <f t="shared" si="86"/>
        <v>0.06999782475241789</v>
      </c>
      <c r="H234" s="998">
        <f t="shared" si="86"/>
        <v>0.05066319089497801</v>
      </c>
      <c r="I234" s="998">
        <f t="shared" si="86"/>
        <v>0.09337941841251964</v>
      </c>
      <c r="J234" s="998">
        <f t="shared" si="86"/>
        <v>0.05451237616518487</v>
      </c>
    </row>
    <row r="235" spans="1:10" ht="12.75">
      <c r="A235" s="942">
        <f>A234+1</f>
        <v>157</v>
      </c>
      <c r="B235" s="996" t="s">
        <v>887</v>
      </c>
      <c r="C235" s="999">
        <f aca="true" t="shared" si="87" ref="C235:J235">SUM(C232:C234)</f>
        <v>0.07930560249467453</v>
      </c>
      <c r="D235" s="999"/>
      <c r="E235" s="999">
        <f t="shared" si="87"/>
        <v>0.08921590238998783</v>
      </c>
      <c r="F235" s="999">
        <f t="shared" si="87"/>
        <v>0.08178299674883638</v>
      </c>
      <c r="G235" s="999">
        <f t="shared" si="87"/>
        <v>0.08766169177757638</v>
      </c>
      <c r="H235" s="999">
        <f t="shared" si="87"/>
        <v>0.08185278533488226</v>
      </c>
      <c r="I235" s="999">
        <f t="shared" si="87"/>
        <v>0.10321258232324826</v>
      </c>
      <c r="J235" s="999">
        <f t="shared" si="87"/>
        <v>0.08247115121483654</v>
      </c>
    </row>
    <row r="236" spans="1:10" ht="12.75">
      <c r="A236" s="942"/>
      <c r="B236" s="994"/>
      <c r="C236" s="942"/>
      <c r="D236" s="942"/>
      <c r="E236" s="942"/>
      <c r="F236" s="942"/>
      <c r="G236" s="942"/>
      <c r="H236" s="942"/>
      <c r="I236" s="942"/>
      <c r="J236" s="942"/>
    </row>
    <row r="237" spans="1:10" ht="12.75">
      <c r="A237" s="942"/>
      <c r="B237" s="942"/>
      <c r="C237" s="942"/>
      <c r="D237" s="942"/>
      <c r="E237" s="942"/>
      <c r="F237" s="942"/>
      <c r="G237" s="942"/>
      <c r="H237" s="942"/>
      <c r="I237" s="942"/>
      <c r="J237" s="942"/>
    </row>
  </sheetData>
  <sheetProtection/>
  <mergeCells count="12">
    <mergeCell ref="A177:J177"/>
    <mergeCell ref="B188:J188"/>
    <mergeCell ref="A88:J88"/>
    <mergeCell ref="A89:J89"/>
    <mergeCell ref="A90:J90"/>
    <mergeCell ref="B101:J101"/>
    <mergeCell ref="B14:J14"/>
    <mergeCell ref="A1:J1"/>
    <mergeCell ref="A2:J2"/>
    <mergeCell ref="A3:J3"/>
    <mergeCell ref="A175:J175"/>
    <mergeCell ref="A176:J176"/>
  </mergeCells>
  <printOptions/>
  <pageMargins left="0.75" right="0.75" top="1" bottom="1" header="0.5" footer="0.5"/>
  <pageSetup fitToHeight="3" horizontalDpi="600" verticalDpi="600" orientation="portrait" scale="42" r:id="rId1"/>
  <headerFooter alignWithMargins="0">
    <oddHeader>&amp;RFormula Rate 
&amp;A
Page &amp;P of &amp;N</oddHeader>
  </headerFooter>
  <rowBreaks count="2" manualBreakCount="2">
    <brk id="87" max="9" man="1"/>
    <brk id="174" max="9" man="1"/>
  </rowBreaks>
</worksheet>
</file>

<file path=xl/worksheets/sheet3.xml><?xml version="1.0" encoding="utf-8"?>
<worksheet xmlns="http://schemas.openxmlformats.org/spreadsheetml/2006/main" xmlns:r="http://schemas.openxmlformats.org/officeDocument/2006/relationships">
  <dimension ref="B1:X1260"/>
  <sheetViews>
    <sheetView zoomScale="79" zoomScaleNormal="79" zoomScalePageLayoutView="0" workbookViewId="0" topLeftCell="A1">
      <selection activeCell="G234" sqref="G234"/>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51.57421875" style="16" customWidth="1"/>
    <col min="6" max="6" width="22.28125" style="16" customWidth="1"/>
    <col min="7" max="7" width="20.7109375" style="16" customWidth="1"/>
    <col min="8" max="8" width="22.28125" style="16" customWidth="1"/>
    <col min="9" max="9" width="9.57421875" style="16" customWidth="1"/>
    <col min="10" max="10" width="21.57421875" style="16" bestFit="1" customWidth="1"/>
    <col min="11" max="11" width="4.71093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
      <c r="B1" s="91"/>
      <c r="C1" s="13"/>
      <c r="D1" s="134"/>
      <c r="E1" s="66"/>
      <c r="F1" s="66"/>
      <c r="G1" s="67"/>
      <c r="H1" s="13"/>
      <c r="I1" s="14"/>
      <c r="J1" s="14"/>
      <c r="K1" s="14"/>
      <c r="L1" s="15"/>
      <c r="M1" s="13"/>
      <c r="N1" s="16" t="s">
        <v>64</v>
      </c>
      <c r="O1" s="807">
        <v>2014</v>
      </c>
    </row>
    <row r="2" spans="2:15" ht="15">
      <c r="B2" s="91"/>
      <c r="C2" s="13"/>
      <c r="D2" s="13"/>
      <c r="E2" s="13"/>
      <c r="F2" s="13"/>
      <c r="G2" s="13"/>
      <c r="H2" s="13"/>
      <c r="I2" s="13"/>
      <c r="J2" s="13"/>
      <c r="K2" s="13"/>
      <c r="L2" s="13"/>
      <c r="M2" s="13"/>
      <c r="N2" s="16" t="s">
        <v>65</v>
      </c>
      <c r="O2" s="807">
        <v>2015</v>
      </c>
    </row>
    <row r="3" spans="2:15" ht="15">
      <c r="B3" s="91"/>
      <c r="C3" s="13"/>
      <c r="D3" s="17"/>
      <c r="E3" s="17"/>
      <c r="F3" s="11" t="s">
        <v>364</v>
      </c>
      <c r="G3" s="89"/>
      <c r="H3" s="89"/>
      <c r="J3" s="17"/>
      <c r="K3" s="18"/>
      <c r="L3" s="18"/>
      <c r="M3" s="100"/>
      <c r="O3" s="836"/>
    </row>
    <row r="4" spans="2:13" ht="15">
      <c r="B4" s="91"/>
      <c r="C4" s="13"/>
      <c r="D4" s="17"/>
      <c r="E4" s="19"/>
      <c r="F4" s="11" t="s">
        <v>63</v>
      </c>
      <c r="G4" s="89"/>
      <c r="H4" s="89"/>
      <c r="J4" s="19"/>
      <c r="K4" s="18"/>
      <c r="L4" s="18"/>
      <c r="M4" s="100"/>
    </row>
    <row r="5" spans="2:13" ht="15">
      <c r="B5" s="91"/>
      <c r="C5" s="13"/>
      <c r="D5" s="18"/>
      <c r="E5" s="18"/>
      <c r="F5" s="12" t="str">
        <f>"Utilizing  Historic Cost Data for "&amp;O1&amp;" with Year-End Rate Base Balances"</f>
        <v>Utilizing  Historic Cost Data for 2014 with Year-End Rate Base Balances</v>
      </c>
      <c r="G5" s="89"/>
      <c r="H5" s="89"/>
      <c r="J5" s="18"/>
      <c r="K5" s="18"/>
      <c r="L5" s="18"/>
      <c r="M5" s="100"/>
    </row>
    <row r="6" spans="2:13" ht="15">
      <c r="B6" s="92"/>
      <c r="C6" s="20"/>
      <c r="D6" s="18"/>
      <c r="H6" s="21"/>
      <c r="I6" s="21"/>
      <c r="J6" s="21"/>
      <c r="K6" s="21"/>
      <c r="L6" s="18"/>
      <c r="M6" s="18"/>
    </row>
    <row r="7" spans="2:13" ht="15">
      <c r="B7" s="92"/>
      <c r="C7" s="20"/>
      <c r="D7"/>
      <c r="E7" s="18"/>
      <c r="F7" s="471" t="s">
        <v>199</v>
      </c>
      <c r="G7" s="22"/>
      <c r="H7" s="18"/>
      <c r="I7" s="18"/>
      <c r="J7" s="18"/>
      <c r="K7" s="18"/>
      <c r="L7"/>
      <c r="M7" s="18"/>
    </row>
    <row r="8" spans="2:13" ht="15">
      <c r="B8" s="92"/>
      <c r="C8" s="20"/>
      <c r="D8" s="18"/>
      <c r="E8" s="18"/>
      <c r="F8" s="212"/>
      <c r="G8" s="22"/>
      <c r="H8" s="18"/>
      <c r="I8" s="18"/>
      <c r="J8" s="18"/>
      <c r="K8" s="18"/>
      <c r="L8"/>
      <c r="M8" s="18"/>
    </row>
    <row r="9" spans="2:13" ht="15">
      <c r="B9" s="92" t="s">
        <v>608</v>
      </c>
      <c r="C9" s="20"/>
      <c r="D9" s="18"/>
      <c r="E9" s="18"/>
      <c r="F9" s="18"/>
      <c r="G9" s="22"/>
      <c r="H9" s="18"/>
      <c r="I9" s="18"/>
      <c r="J9" s="18"/>
      <c r="K9" s="18"/>
      <c r="L9" s="20" t="s">
        <v>556</v>
      </c>
      <c r="M9" s="18"/>
    </row>
    <row r="10" spans="2:13" ht="15" thickBot="1">
      <c r="B10" s="93" t="s">
        <v>558</v>
      </c>
      <c r="C10" s="25"/>
      <c r="D10" s="18"/>
      <c r="E10" s="25"/>
      <c r="F10" s="18"/>
      <c r="G10" s="18"/>
      <c r="H10" s="18"/>
      <c r="I10" s="18"/>
      <c r="J10" s="18"/>
      <c r="K10" s="18"/>
      <c r="L10" s="24" t="s">
        <v>609</v>
      </c>
      <c r="M10" s="18"/>
    </row>
    <row r="11" spans="2:13" ht="15">
      <c r="B11" s="92">
        <f>+'Projected TCOS'!B275+1</f>
        <v>178</v>
      </c>
      <c r="C11" s="20"/>
      <c r="D11" s="87" t="s">
        <v>552</v>
      </c>
      <c r="E11" s="26" t="str">
        <f>"(ln "&amp;B211&amp;")"</f>
        <v>(ln 313)</v>
      </c>
      <c r="F11" s="26"/>
      <c r="G11" s="27"/>
      <c r="H11" s="28"/>
      <c r="I11" s="18"/>
      <c r="J11" s="18"/>
      <c r="K11" s="18"/>
      <c r="L11" s="69">
        <f>+L211</f>
        <v>195088.42090748338</v>
      </c>
      <c r="M11" s="18"/>
    </row>
    <row r="12" spans="2:13" ht="15" thickBot="1">
      <c r="B12" s="92"/>
      <c r="C12" s="20"/>
      <c r="E12" s="308"/>
      <c r="F12" s="29"/>
      <c r="G12" s="24" t="s">
        <v>559</v>
      </c>
      <c r="H12" s="19"/>
      <c r="I12" s="30" t="s">
        <v>560</v>
      </c>
      <c r="J12" s="30"/>
      <c r="K12" s="18"/>
      <c r="L12" s="27"/>
      <c r="M12" s="18"/>
    </row>
    <row r="13" spans="2:13" ht="15">
      <c r="B13" s="92">
        <f>+B11+1</f>
        <v>179</v>
      </c>
      <c r="C13" s="20"/>
      <c r="D13" s="88" t="s">
        <v>607</v>
      </c>
      <c r="E13" s="308" t="s">
        <v>949</v>
      </c>
      <c r="F13" s="29"/>
      <c r="G13" s="129">
        <f>+'WS E Rev Credits'!K25</f>
        <v>0</v>
      </c>
      <c r="H13" s="29"/>
      <c r="I13" s="49" t="s">
        <v>569</v>
      </c>
      <c r="J13" s="50">
        <f>VLOOKUP(I13,APCo_Hist_Allocators,2,FALSE)</f>
        <v>1</v>
      </c>
      <c r="K13" s="19"/>
      <c r="L13" s="156">
        <f>+J13*G13</f>
        <v>0</v>
      </c>
      <c r="M13" s="18"/>
    </row>
    <row r="14" spans="2:13" ht="15">
      <c r="B14" s="92"/>
      <c r="C14" s="20"/>
      <c r="D14" s="88"/>
      <c r="F14" s="19"/>
      <c r="L14" s="547"/>
      <c r="M14" s="18"/>
    </row>
    <row r="15" spans="2:13" ht="15" thickBot="1">
      <c r="B15" s="96">
        <f>+B13+1</f>
        <v>180</v>
      </c>
      <c r="C15" s="80"/>
      <c r="D15" s="138" t="s">
        <v>164</v>
      </c>
      <c r="E15" s="105" t="str">
        <f>"(ln "&amp;B11&amp;" less ln "&amp;B13&amp;")"</f>
        <v>(ln 178 less ln 179)</v>
      </c>
      <c r="F15" s="18"/>
      <c r="H15" s="19"/>
      <c r="I15" s="32"/>
      <c r="J15" s="19"/>
      <c r="K15" s="19"/>
      <c r="L15" s="288">
        <f>+L11-L13</f>
        <v>195088.42090748338</v>
      </c>
      <c r="M15" s="18"/>
    </row>
    <row r="16" spans="2:13" ht="15" thickTop="1">
      <c r="B16" s="96"/>
      <c r="C16" s="80"/>
      <c r="D16" s="88"/>
      <c r="E16" s="105"/>
      <c r="F16" s="18"/>
      <c r="H16" s="19"/>
      <c r="I16" s="32"/>
      <c r="J16" s="19"/>
      <c r="K16" s="19"/>
      <c r="L16" s="106"/>
      <c r="M16" s="18"/>
    </row>
    <row r="17" spans="2:9" ht="15" customHeight="1">
      <c r="B17" s="1168"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183 to 188 below are used in calculating project revenue requirements billed through PJM Schedule 12, Transmission Enhancement Charges.  The total non-incentive revenue requirements for these projects shown on line 181 is included in the total on line 180.</v>
      </c>
      <c r="C17" s="1168"/>
      <c r="D17" s="1168"/>
      <c r="E17" s="1168"/>
      <c r="F17" s="1168"/>
      <c r="G17" s="1168"/>
      <c r="H17" s="1168"/>
      <c r="I17" s="1168"/>
    </row>
    <row r="18" spans="2:9" ht="35.25" customHeight="1">
      <c r="B18" s="1168"/>
      <c r="C18" s="1168"/>
      <c r="D18" s="1168"/>
      <c r="E18" s="1168"/>
      <c r="F18" s="1168"/>
      <c r="G18" s="1168"/>
      <c r="H18" s="1168"/>
      <c r="I18" s="1168"/>
    </row>
    <row r="19" spans="2:9" ht="15" customHeight="1">
      <c r="B19" s="636"/>
      <c r="C19" s="636"/>
      <c r="D19" s="636"/>
      <c r="E19" s="636"/>
      <c r="F19" s="636"/>
      <c r="G19" s="636"/>
      <c r="H19" s="636"/>
      <c r="I19" s="636"/>
    </row>
    <row r="20" spans="2:13" ht="15">
      <c r="B20" s="92">
        <f>+B15+1</f>
        <v>181</v>
      </c>
      <c r="C20" s="80"/>
      <c r="D20" s="307" t="s">
        <v>1023</v>
      </c>
      <c r="E20" s="308"/>
      <c r="F20" s="29"/>
      <c r="G20" s="122"/>
      <c r="H20" s="29"/>
      <c r="I20" s="49"/>
      <c r="J20" s="50"/>
      <c r="K20" s="26"/>
      <c r="L20" s="309"/>
      <c r="M20" s="18"/>
    </row>
    <row r="21" spans="2:13" ht="15">
      <c r="B21" s="92"/>
      <c r="C21" s="80"/>
      <c r="D21" s="307"/>
      <c r="E21" s="105"/>
      <c r="F21" s="29"/>
      <c r="G21" s="122"/>
      <c r="H21" s="29"/>
      <c r="I21" s="29"/>
      <c r="J21" s="50"/>
      <c r="K21" s="26"/>
      <c r="L21" s="309"/>
      <c r="M21" s="18"/>
    </row>
    <row r="22" spans="2:13" ht="15">
      <c r="B22" s="96">
        <f>+B20+1</f>
        <v>182</v>
      </c>
      <c r="C22" s="80"/>
      <c r="D22" s="307" t="s">
        <v>1024</v>
      </c>
      <c r="E22" s="308"/>
      <c r="F22" s="18"/>
      <c r="G22" s="310"/>
      <c r="H22" s="18"/>
      <c r="I22" s="13"/>
      <c r="J22" s="18"/>
      <c r="K22" s="18"/>
      <c r="M22" s="18"/>
    </row>
    <row r="23" spans="2:13" ht="15">
      <c r="B23" s="92">
        <f>B22+1</f>
        <v>183</v>
      </c>
      <c r="C23" s="80"/>
      <c r="D23" s="57" t="s">
        <v>858</v>
      </c>
      <c r="E23" s="26" t="str">
        <f>"( (ln "&amp;B11&amp;" - ln "&amp;B168&amp;" - ln "&amp;B169&amp;")/ ln "&amp;B91&amp;" x 100)"</f>
        <v>( (ln 178 - ln 279 - ln 280)/ ln 225 x 100)</v>
      </c>
      <c r="F23" s="20"/>
      <c r="G23" s="20"/>
      <c r="H23" s="20"/>
      <c r="I23" s="311"/>
      <c r="J23" s="311"/>
      <c r="K23" s="311"/>
      <c r="L23" s="312">
        <f>IF(L91=0,0,(L11-L168-L169)/L91)</f>
        <v>0</v>
      </c>
      <c r="M23" s="18"/>
    </row>
    <row r="24" spans="2:13" ht="15">
      <c r="B24" s="92">
        <f>B23+1</f>
        <v>184</v>
      </c>
      <c r="C24" s="80"/>
      <c r="D24" s="57" t="s">
        <v>859</v>
      </c>
      <c r="E24" s="26" t="str">
        <f>"(ln "&amp;B23&amp;" / 12)"</f>
        <v>(ln 183 / 12)</v>
      </c>
      <c r="F24" s="20"/>
      <c r="G24" s="20"/>
      <c r="H24" s="20"/>
      <c r="I24" s="311"/>
      <c r="J24" s="311"/>
      <c r="K24" s="311"/>
      <c r="L24" s="313">
        <f>L23/12</f>
        <v>0</v>
      </c>
      <c r="M24" s="18"/>
    </row>
    <row r="25" spans="2:13" ht="15">
      <c r="B25" s="92"/>
      <c r="C25" s="80"/>
      <c r="D25" s="57"/>
      <c r="E25" s="26"/>
      <c r="F25" s="20"/>
      <c r="G25" s="20"/>
      <c r="H25" s="20"/>
      <c r="I25" s="311"/>
      <c r="J25" s="311"/>
      <c r="K25" s="311"/>
      <c r="L25" s="313"/>
      <c r="M25" s="18"/>
    </row>
    <row r="26" spans="2:13" ht="15">
      <c r="B26" s="92">
        <f>B24+1</f>
        <v>185</v>
      </c>
      <c r="C26" s="80"/>
      <c r="D26" s="307" t="str">
        <f>"NET PLANT CARRYING CHARGE ON LINE "&amp;B23&amp;" , w/o depreciation or ROE incentives (Note B)"</f>
        <v>NET PLANT CARRYING CHARGE ON LINE 183 , w/o depreciation or ROE incentives (Note B)</v>
      </c>
      <c r="E26" s="26"/>
      <c r="F26" s="20"/>
      <c r="G26" s="20"/>
      <c r="H26" s="20"/>
      <c r="I26" s="311"/>
      <c r="J26" s="311"/>
      <c r="K26" s="311"/>
      <c r="L26" s="313"/>
      <c r="M26" s="18"/>
    </row>
    <row r="27" spans="2:13" ht="15">
      <c r="B27" s="92">
        <f>B26+1</f>
        <v>186</v>
      </c>
      <c r="C27" s="80"/>
      <c r="D27" s="57" t="s">
        <v>858</v>
      </c>
      <c r="E27" s="26" t="str">
        <f>"( (ln "&amp;B11&amp;" - ln "&amp;B168&amp;" - ln "&amp;B169&amp;" - ln "&amp;B175&amp;") / ln "&amp;B91&amp;" x 100)"</f>
        <v>( (ln 178 - ln 279 - ln 280 - ln 285) / ln 225 x 100)</v>
      </c>
      <c r="F27" s="20"/>
      <c r="G27" s="20"/>
      <c r="H27" s="20"/>
      <c r="I27" s="311"/>
      <c r="J27" s="311"/>
      <c r="K27" s="311"/>
      <c r="L27" s="312">
        <f>IF(L91=0,0,(L11-L168-L169-L175)/L91)</f>
        <v>0</v>
      </c>
      <c r="M27" s="18"/>
    </row>
    <row r="28" spans="2:13" ht="15">
      <c r="B28" s="92"/>
      <c r="C28" s="80"/>
      <c r="D28" s="57"/>
      <c r="E28" s="26"/>
      <c r="F28" s="20"/>
      <c r="G28" s="20"/>
      <c r="H28" s="20"/>
      <c r="I28" s="311"/>
      <c r="J28" s="311"/>
      <c r="K28" s="311"/>
      <c r="L28" s="313"/>
      <c r="M28" s="18"/>
    </row>
    <row r="29" spans="2:13" ht="15">
      <c r="B29" s="92">
        <f>B27+1</f>
        <v>187</v>
      </c>
      <c r="C29" s="80"/>
      <c r="D29" s="307" t="str">
        <f>"NET PLANT CARRYING CHARGE ON LINE "&amp;B27&amp;", w/o Return, income taxes or ROE incentives (Note B)"</f>
        <v>NET PLANT CARRYING CHARGE ON LINE 186, w/o Return, income taxes or ROE incentives (Note B)</v>
      </c>
      <c r="E29" s="26"/>
      <c r="F29" s="707"/>
      <c r="G29" s="707"/>
      <c r="H29" s="707"/>
      <c r="I29" s="707"/>
      <c r="J29" s="707"/>
      <c r="K29" s="707"/>
      <c r="L29" s="707"/>
      <c r="M29"/>
    </row>
    <row r="30" spans="2:13" ht="15">
      <c r="B30" s="92">
        <f>B29+1</f>
        <v>188</v>
      </c>
      <c r="C30" s="80"/>
      <c r="D30" s="17" t="s">
        <v>858</v>
      </c>
      <c r="E30" s="26" t="str">
        <f>"( (ln "&amp;B11&amp;" - ln "&amp;B168&amp;" - ln "&amp;B169&amp;" - ln "&amp;B175&amp;" - ln "&amp;B201&amp;" - ln "&amp;B203&amp;") / ln "&amp;B91&amp;" x 100)"</f>
        <v>( (ln 178 - ln 279 - ln 280 - ln 285 - ln 308 - ln 309) / ln 225 x 100)</v>
      </c>
      <c r="F30" s="707"/>
      <c r="G30" s="707"/>
      <c r="H30" s="707"/>
      <c r="I30" s="707"/>
      <c r="J30" s="707"/>
      <c r="K30" s="707"/>
      <c r="L30" s="583">
        <f>IF(L91=0,0,(L11-L168-L169-L175-L201-L203)/L91)</f>
        <v>0</v>
      </c>
      <c r="M30"/>
    </row>
    <row r="31" spans="2:13" ht="15">
      <c r="B31" s="92"/>
      <c r="C31" s="80"/>
      <c r="D31" s="17"/>
      <c r="E31" s="26"/>
      <c r="F31" s="20"/>
      <c r="G31" s="20"/>
      <c r="H31" s="20"/>
      <c r="I31" s="311"/>
      <c r="J31" s="311"/>
      <c r="K31" s="311"/>
      <c r="L31" s="312"/>
      <c r="M31" s="552"/>
    </row>
    <row r="32" spans="2:13" ht="15">
      <c r="B32" s="92">
        <f>B30+1</f>
        <v>189</v>
      </c>
      <c r="C32" s="20"/>
      <c r="D32" s="307" t="s">
        <v>1023</v>
      </c>
      <c r="E32" s="26"/>
      <c r="F32" s="20"/>
      <c r="G32" s="20"/>
      <c r="H32" s="20"/>
      <c r="I32" s="311"/>
      <c r="J32" s="311"/>
      <c r="K32" s="311"/>
      <c r="L32" s="546"/>
      <c r="M32" s="18"/>
    </row>
    <row r="33" spans="2:13" ht="15">
      <c r="B33" s="92"/>
      <c r="C33" s="20"/>
      <c r="D33" s="13"/>
      <c r="E33" s="26"/>
      <c r="F33" s="20"/>
      <c r="G33" s="20"/>
      <c r="H33" s="20"/>
      <c r="I33" s="311"/>
      <c r="J33" s="311"/>
      <c r="K33" s="311"/>
      <c r="L33" s="312"/>
      <c r="M33" s="18"/>
    </row>
    <row r="34" spans="2:13" ht="15">
      <c r="B34" s="16"/>
      <c r="C34" s="20"/>
      <c r="D34" s="13"/>
      <c r="E34" s="26"/>
      <c r="F34" s="20"/>
      <c r="G34" s="20"/>
      <c r="H34" s="20"/>
      <c r="I34" s="311"/>
      <c r="J34" s="311"/>
      <c r="K34" s="311"/>
      <c r="L34" s="312"/>
      <c r="M34" s="18"/>
    </row>
    <row r="35" spans="2:13" ht="15">
      <c r="B35" s="92">
        <f>+B32+1</f>
        <v>190</v>
      </c>
      <c r="C35" s="20"/>
      <c r="D35" s="1177" t="s">
        <v>82</v>
      </c>
      <c r="E35" s="1177"/>
      <c r="F35" s="1177"/>
      <c r="G35" s="1177"/>
      <c r="H35" s="1177"/>
      <c r="I35" s="1177"/>
      <c r="J35" s="1177"/>
      <c r="K35" s="1177"/>
      <c r="L35" s="1177"/>
      <c r="M35" s="18"/>
    </row>
    <row r="36" spans="2:13" ht="15">
      <c r="B36" s="92"/>
      <c r="C36" s="20"/>
      <c r="D36" s="13"/>
      <c r="E36" s="26"/>
      <c r="F36" s="20"/>
      <c r="G36" s="20"/>
      <c r="H36" s="20"/>
      <c r="I36" s="311"/>
      <c r="J36" s="311"/>
      <c r="K36" s="311"/>
      <c r="L36" s="312"/>
      <c r="M36" s="18"/>
    </row>
    <row r="37" spans="2:13" ht="15">
      <c r="B37" s="92">
        <f>+B35+1</f>
        <v>191</v>
      </c>
      <c r="C37" s="20"/>
      <c r="D37" s="87" t="s">
        <v>84</v>
      </c>
      <c r="E37" s="26" t="str">
        <f>"Line "&amp;B149&amp;" Below"</f>
        <v>Line 262 Below</v>
      </c>
      <c r="F37" s="20"/>
      <c r="H37" s="20"/>
      <c r="I37" s="311"/>
      <c r="J37" s="311"/>
      <c r="K37" s="311"/>
      <c r="L37" s="128">
        <f>+G149</f>
        <v>238</v>
      </c>
      <c r="M37" s="18"/>
    </row>
    <row r="38" spans="2:13" ht="15">
      <c r="B38" s="92">
        <f>+B37+1</f>
        <v>192</v>
      </c>
      <c r="C38" s="20"/>
      <c r="D38" s="87" t="s">
        <v>268</v>
      </c>
      <c r="E38" s="18"/>
      <c r="F38" s="20"/>
      <c r="H38" s="20"/>
      <c r="I38" s="311"/>
      <c r="J38" s="311"/>
      <c r="K38" s="311"/>
      <c r="L38" s="1089">
        <v>238</v>
      </c>
      <c r="M38" s="18"/>
    </row>
    <row r="39" spans="2:13" ht="15">
      <c r="B39" s="92">
        <f>+B38+1</f>
        <v>193</v>
      </c>
      <c r="C39" s="20"/>
      <c r="D39" s="87" t="s">
        <v>269</v>
      </c>
      <c r="E39" s="18"/>
      <c r="F39" s="20"/>
      <c r="H39" s="20"/>
      <c r="I39" s="311"/>
      <c r="J39" s="311"/>
      <c r="K39" s="311"/>
      <c r="L39" s="1089">
        <v>0</v>
      </c>
      <c r="M39" s="18"/>
    </row>
    <row r="40" spans="2:13" ht="15">
      <c r="B40" s="92"/>
      <c r="C40" s="20"/>
      <c r="E40" s="18"/>
      <c r="F40" s="20"/>
      <c r="H40" s="20"/>
      <c r="I40" s="311"/>
      <c r="J40" s="311"/>
      <c r="K40" s="311"/>
      <c r="L40" s="20"/>
      <c r="M40" s="18"/>
    </row>
    <row r="41" spans="2:13" ht="15" thickBot="1">
      <c r="B41" s="92">
        <f>+B39+1</f>
        <v>194</v>
      </c>
      <c r="C41" s="20"/>
      <c r="D41" s="87" t="s">
        <v>83</v>
      </c>
      <c r="E41" s="28" t="str">
        <f>"(Line "&amp;B37&amp;" - Line "&amp;B38&amp;" - Line "&amp;B39&amp;")"</f>
        <v>(Line 191 - Line 192 - Line 193)</v>
      </c>
      <c r="F41" s="20"/>
      <c r="H41" s="20"/>
      <c r="I41" s="311"/>
      <c r="J41" s="311"/>
      <c r="K41" s="311"/>
      <c r="L41" s="607">
        <f>+L37-L38-L39</f>
        <v>0</v>
      </c>
      <c r="M41" s="18"/>
    </row>
    <row r="42" spans="2:13" ht="15" thickTop="1">
      <c r="B42" s="92"/>
      <c r="C42" s="20"/>
      <c r="D42" s="13"/>
      <c r="E42" s="26"/>
      <c r="F42" s="20"/>
      <c r="G42" s="20"/>
      <c r="H42" s="20"/>
      <c r="I42" s="311"/>
      <c r="J42" s="311"/>
      <c r="K42" s="311"/>
      <c r="L42" s="312"/>
      <c r="M42" s="18"/>
    </row>
    <row r="43" spans="2:13" ht="15">
      <c r="B43" s="92"/>
      <c r="C43" s="20"/>
      <c r="D43" s="13"/>
      <c r="E43" s="26"/>
      <c r="F43" s="20"/>
      <c r="G43" s="20"/>
      <c r="H43" s="20"/>
      <c r="I43" s="311"/>
      <c r="J43" s="311"/>
      <c r="K43" s="311"/>
      <c r="L43" s="312"/>
      <c r="M43" s="18"/>
    </row>
    <row r="44" spans="2:13" ht="15">
      <c r="B44" s="92"/>
      <c r="C44" s="20"/>
      <c r="D44" s="13"/>
      <c r="E44" s="26"/>
      <c r="F44" s="20"/>
      <c r="G44" s="20"/>
      <c r="H44" s="20"/>
      <c r="I44" s="311"/>
      <c r="J44" s="311"/>
      <c r="K44" s="311"/>
      <c r="L44" s="312"/>
      <c r="M44" s="18"/>
    </row>
    <row r="45" spans="2:13" ht="15">
      <c r="B45" s="91"/>
      <c r="C45" s="13"/>
      <c r="D45" s="17"/>
      <c r="E45" s="17"/>
      <c r="G45" s="28"/>
      <c r="H45" s="17"/>
      <c r="I45" s="17"/>
      <c r="J45" s="17"/>
      <c r="K45" s="17"/>
      <c r="L45" s="17"/>
      <c r="M45" s="200"/>
    </row>
    <row r="46" spans="2:16" ht="15">
      <c r="B46" s="91"/>
      <c r="C46" s="13"/>
      <c r="D46" s="17"/>
      <c r="E46" s="17"/>
      <c r="F46" s="20"/>
      <c r="G46" s="28"/>
      <c r="H46" s="17"/>
      <c r="I46" s="17"/>
      <c r="J46" s="17"/>
      <c r="K46" s="17"/>
      <c r="L46" s="17"/>
      <c r="M46" s="200"/>
      <c r="P46" s="555"/>
    </row>
    <row r="47" spans="2:16" ht="15">
      <c r="B47" s="91"/>
      <c r="C47" s="13"/>
      <c r="D47" s="17"/>
      <c r="E47" s="17"/>
      <c r="F47" s="20" t="str">
        <f>F3</f>
        <v>AEPTCo subsidiaries in PJM</v>
      </c>
      <c r="G47" s="28"/>
      <c r="H47" s="17"/>
      <c r="I47" s="17"/>
      <c r="J47" s="17"/>
      <c r="K47" s="17"/>
      <c r="L47" s="17"/>
      <c r="M47" s="200"/>
      <c r="P47" s="555"/>
    </row>
    <row r="48" spans="2:16" ht="15">
      <c r="B48" s="91"/>
      <c r="C48" s="13"/>
      <c r="D48" s="17"/>
      <c r="E48" s="19"/>
      <c r="F48" s="20" t="str">
        <f>F4</f>
        <v>Transmission Cost of Service Formula Rate</v>
      </c>
      <c r="G48" s="19"/>
      <c r="H48" s="19"/>
      <c r="I48" s="19"/>
      <c r="J48" s="19"/>
      <c r="K48" s="19"/>
      <c r="L48" s="19"/>
      <c r="M48" s="553"/>
      <c r="P48" s="556"/>
    </row>
    <row r="49" spans="2:16" ht="15">
      <c r="B49" s="91"/>
      <c r="C49" s="13"/>
      <c r="D49" s="17"/>
      <c r="E49" s="19"/>
      <c r="F49" s="32" t="str">
        <f>F5</f>
        <v>Utilizing  Historic Cost Data for 2014 with Year-End Rate Base Balances</v>
      </c>
      <c r="G49" s="19"/>
      <c r="H49" s="19"/>
      <c r="I49" s="19"/>
      <c r="J49" s="19"/>
      <c r="K49" s="19"/>
      <c r="L49" s="19"/>
      <c r="M49" s="145"/>
      <c r="P49" s="556"/>
    </row>
    <row r="50" spans="2:16" ht="15">
      <c r="B50" s="91"/>
      <c r="C50" s="13"/>
      <c r="D50" s="17"/>
      <c r="E50" s="19"/>
      <c r="F50" s="20"/>
      <c r="G50" s="19"/>
      <c r="H50" s="19"/>
      <c r="I50" s="19"/>
      <c r="J50" s="19"/>
      <c r="K50" s="19"/>
      <c r="L50" s="19"/>
      <c r="M50" s="19"/>
      <c r="P50" s="556"/>
    </row>
    <row r="51" spans="2:16" ht="15">
      <c r="B51" s="91"/>
      <c r="C51" s="13"/>
      <c r="D51" s="17"/>
      <c r="E51" s="19"/>
      <c r="F51" s="20" t="str">
        <f>F7</f>
        <v>AEP KENTUCKY TRANSMISSION COMPANY</v>
      </c>
      <c r="G51" s="19"/>
      <c r="H51" s="19"/>
      <c r="I51" s="19"/>
      <c r="J51" s="19"/>
      <c r="K51" s="19"/>
      <c r="L51" s="19"/>
      <c r="M51" s="19"/>
      <c r="P51" s="556"/>
    </row>
    <row r="52" spans="2:16" ht="15">
      <c r="B52" s="91"/>
      <c r="C52" s="13"/>
      <c r="D52" s="17"/>
      <c r="E52" s="32"/>
      <c r="F52" s="32"/>
      <c r="G52" s="32"/>
      <c r="H52" s="32"/>
      <c r="I52" s="32"/>
      <c r="J52" s="32"/>
      <c r="K52" s="32"/>
      <c r="L52" s="19"/>
      <c r="M52" s="19"/>
      <c r="P52" s="556"/>
    </row>
    <row r="53" spans="2:13" ht="15">
      <c r="B53" s="91"/>
      <c r="C53" s="13"/>
      <c r="D53" s="20" t="s">
        <v>562</v>
      </c>
      <c r="E53" s="20" t="s">
        <v>563</v>
      </c>
      <c r="F53" s="20"/>
      <c r="G53" s="20" t="s">
        <v>564</v>
      </c>
      <c r="H53" s="19" t="s">
        <v>555</v>
      </c>
      <c r="I53" s="1169" t="s">
        <v>565</v>
      </c>
      <c r="J53" s="1196"/>
      <c r="K53" s="19"/>
      <c r="L53" s="21" t="s">
        <v>566</v>
      </c>
      <c r="M53" s="19"/>
    </row>
    <row r="54" spans="2:13" ht="15">
      <c r="B54" s="16"/>
      <c r="C54" s="13"/>
      <c r="D54" s="707"/>
      <c r="E54" s="707"/>
      <c r="F54" s="707"/>
      <c r="G54" s="128"/>
      <c r="H54" s="19"/>
      <c r="I54" s="19"/>
      <c r="J54" s="34"/>
      <c r="K54" s="19"/>
      <c r="L54" s="13"/>
      <c r="M54" s="19"/>
    </row>
    <row r="55" spans="2:16" ht="15">
      <c r="B55" s="94"/>
      <c r="C55" s="20"/>
      <c r="D55" s="707"/>
      <c r="E55" s="35" t="s">
        <v>533</v>
      </c>
      <c r="F55" s="37"/>
      <c r="G55" s="19"/>
      <c r="H55" s="19"/>
      <c r="I55" s="19"/>
      <c r="J55" s="20"/>
      <c r="K55" s="19"/>
      <c r="L55" s="36" t="s">
        <v>559</v>
      </c>
      <c r="M55" s="19"/>
      <c r="P55" s="555"/>
    </row>
    <row r="56" spans="2:13" ht="15">
      <c r="B56" s="16"/>
      <c r="C56" s="25"/>
      <c r="D56" s="55" t="s">
        <v>532</v>
      </c>
      <c r="E56" s="117" t="s">
        <v>553</v>
      </c>
      <c r="F56" s="19"/>
      <c r="G56" s="55" t="s">
        <v>519</v>
      </c>
      <c r="H56" s="39"/>
      <c r="I56" s="1180" t="s">
        <v>560</v>
      </c>
      <c r="J56" s="1181"/>
      <c r="K56" s="39"/>
      <c r="L56" s="55" t="s">
        <v>556</v>
      </c>
      <c r="M56" s="19"/>
    </row>
    <row r="57" spans="2:13" ht="15">
      <c r="B57" s="97" t="str">
        <f>B9</f>
        <v>Line</v>
      </c>
      <c r="C57" s="20"/>
      <c r="D57" s="17"/>
      <c r="E57" s="19"/>
      <c r="F57" s="19"/>
      <c r="G57" s="472" t="s">
        <v>984</v>
      </c>
      <c r="H57" s="19"/>
      <c r="I57" s="19"/>
      <c r="J57" s="19"/>
      <c r="K57" s="19"/>
      <c r="L57" s="19"/>
      <c r="M57" s="19"/>
    </row>
    <row r="58" spans="2:13" ht="15" thickBot="1">
      <c r="B58" s="93" t="str">
        <f>B10</f>
        <v>No.</v>
      </c>
      <c r="C58" s="20"/>
      <c r="D58" s="17" t="s">
        <v>520</v>
      </c>
      <c r="E58" s="41"/>
      <c r="F58" s="41"/>
      <c r="G58" s="29"/>
      <c r="H58" s="29"/>
      <c r="I58" s="49"/>
      <c r="J58" s="29"/>
      <c r="K58" s="29"/>
      <c r="L58" s="29"/>
      <c r="M58" s="19"/>
    </row>
    <row r="59" spans="2:13" ht="15">
      <c r="B59" s="92">
        <f>+B41+1</f>
        <v>195</v>
      </c>
      <c r="C59" s="20"/>
      <c r="D59" s="1019" t="s">
        <v>877</v>
      </c>
      <c r="E59" s="29"/>
      <c r="F59" s="29"/>
      <c r="G59" s="122"/>
      <c r="H59" s="122"/>
      <c r="I59" s="49"/>
      <c r="J59" s="50"/>
      <c r="K59" s="29"/>
      <c r="L59" s="122"/>
      <c r="M59" s="19"/>
    </row>
    <row r="60" spans="2:13" ht="15">
      <c r="B60" s="92">
        <f>+B59+1</f>
        <v>196</v>
      </c>
      <c r="C60" s="20"/>
      <c r="D60" s="1019" t="s">
        <v>877</v>
      </c>
      <c r="E60" s="29"/>
      <c r="F60" s="29"/>
      <c r="G60" s="122"/>
      <c r="H60" s="122"/>
      <c r="I60" s="49"/>
      <c r="J60" s="50"/>
      <c r="K60" s="29"/>
      <c r="L60" s="122"/>
      <c r="M60" s="19"/>
    </row>
    <row r="61" spans="2:13" ht="15">
      <c r="B61" s="92">
        <f aca="true" t="shared" si="0" ref="B61:B69">+B60+1</f>
        <v>197</v>
      </c>
      <c r="C61" s="44"/>
      <c r="D61" s="45" t="s">
        <v>568</v>
      </c>
      <c r="E61" s="29" t="str">
        <f>"(Worksheet A ln "&amp;'WS A  - RB Support '!A19&amp;".C &amp; Ln "&amp;B227&amp;")"</f>
        <v>(Worksheet A ln 3.C &amp; Ln 317)</v>
      </c>
      <c r="F61" s="46"/>
      <c r="G61" s="122">
        <f>+'WS A  - RB Support '!E19</f>
        <v>0</v>
      </c>
      <c r="H61" s="122"/>
      <c r="I61" s="284" t="s">
        <v>569</v>
      </c>
      <c r="J61" s="29"/>
      <c r="K61" s="278"/>
      <c r="L61" s="285">
        <f>+L227</f>
        <v>0</v>
      </c>
      <c r="M61" s="47"/>
    </row>
    <row r="62" spans="2:13" ht="15">
      <c r="B62" s="92">
        <f t="shared" si="0"/>
        <v>198</v>
      </c>
      <c r="C62" s="44"/>
      <c r="D62" s="61" t="s">
        <v>5</v>
      </c>
      <c r="E62" s="29" t="str">
        <f>"(Worksheet A ln "&amp;'WS A  - RB Support '!A21&amp;".C&amp; Ln "&amp;B229&amp;")"</f>
        <v>(Worksheet A ln 4.C&amp; Ln 318)</v>
      </c>
      <c r="F62" s="46"/>
      <c r="G62" s="122">
        <f>-+'WS A  - RB Support '!E21</f>
        <v>0</v>
      </c>
      <c r="H62" s="122"/>
      <c r="I62" s="284" t="s">
        <v>561</v>
      </c>
      <c r="J62" s="50">
        <f aca="true" t="shared" si="1" ref="J62:J69">VLOOKUP(I62,APCo_Hist_Allocators,2,FALSE)</f>
        <v>1</v>
      </c>
      <c r="K62" s="278"/>
      <c r="L62" s="285">
        <f>+G62*J62</f>
        <v>0</v>
      </c>
      <c r="M62" s="47"/>
    </row>
    <row r="63" spans="2:13" ht="15">
      <c r="B63" s="92">
        <f>+B62+1</f>
        <v>199</v>
      </c>
      <c r="C63" s="44"/>
      <c r="D63" s="466" t="s">
        <v>241</v>
      </c>
      <c r="E63" s="46"/>
      <c r="F63" s="46"/>
      <c r="G63" s="477" t="s">
        <v>3</v>
      </c>
      <c r="H63" s="707"/>
      <c r="I63" s="284" t="s">
        <v>567</v>
      </c>
      <c r="J63" s="50">
        <f t="shared" si="1"/>
        <v>0</v>
      </c>
      <c r="K63" s="278"/>
      <c r="L63" s="477" t="s">
        <v>3</v>
      </c>
      <c r="M63" s="47"/>
    </row>
    <row r="64" spans="2:16" ht="15">
      <c r="B64" s="92">
        <f>+B63+1</f>
        <v>200</v>
      </c>
      <c r="C64" s="44"/>
      <c r="D64" s="466" t="s">
        <v>242</v>
      </c>
      <c r="E64" s="41"/>
      <c r="F64" s="29"/>
      <c r="G64" s="477" t="s">
        <v>3</v>
      </c>
      <c r="H64" s="707"/>
      <c r="I64" s="32" t="s">
        <v>567</v>
      </c>
      <c r="J64" s="50">
        <f t="shared" si="1"/>
        <v>0</v>
      </c>
      <c r="K64" s="19"/>
      <c r="L64" s="477" t="s">
        <v>3</v>
      </c>
      <c r="M64" s="47"/>
      <c r="P64" s="554"/>
    </row>
    <row r="65" spans="2:13" ht="15">
      <c r="B65" s="92">
        <f>+B64+1</f>
        <v>201</v>
      </c>
      <c r="C65" s="44"/>
      <c r="D65" s="1019" t="s">
        <v>877</v>
      </c>
      <c r="E65" s="29"/>
      <c r="F65" s="29"/>
      <c r="G65" s="122"/>
      <c r="H65" s="122"/>
      <c r="I65" s="49"/>
      <c r="J65" s="50"/>
      <c r="K65" s="29"/>
      <c r="L65" s="122"/>
      <c r="M65" s="19"/>
    </row>
    <row r="66" spans="2:13" ht="15">
      <c r="B66" s="92">
        <f t="shared" si="0"/>
        <v>202</v>
      </c>
      <c r="C66" s="44"/>
      <c r="D66" s="1019" t="s">
        <v>877</v>
      </c>
      <c r="E66" s="29"/>
      <c r="F66" s="29"/>
      <c r="G66" s="122"/>
      <c r="H66" s="122"/>
      <c r="I66" s="49"/>
      <c r="J66" s="50"/>
      <c r="K66" s="29"/>
      <c r="L66" s="122"/>
      <c r="M66" s="19"/>
    </row>
    <row r="67" spans="2:13" ht="15">
      <c r="B67" s="92">
        <f t="shared" si="0"/>
        <v>203</v>
      </c>
      <c r="C67" s="44"/>
      <c r="D67" s="17" t="s">
        <v>570</v>
      </c>
      <c r="E67" s="29" t="str">
        <f>"(Worksheet A ln "&amp;'WS A  - RB Support '!A27&amp;".C)"</f>
        <v>(Worksheet A ln 7.C)</v>
      </c>
      <c r="F67" s="29"/>
      <c r="G67" s="122">
        <f>+'WS A  - RB Support '!E27</f>
        <v>0</v>
      </c>
      <c r="H67" s="122"/>
      <c r="I67" s="49" t="s">
        <v>571</v>
      </c>
      <c r="J67" s="50">
        <f t="shared" si="1"/>
        <v>0.9987295825771325</v>
      </c>
      <c r="K67" s="29"/>
      <c r="L67" s="122">
        <f>+J67*G67</f>
        <v>0</v>
      </c>
      <c r="M67" s="19"/>
    </row>
    <row r="68" spans="2:13" ht="15">
      <c r="B68" s="92">
        <f t="shared" si="0"/>
        <v>204</v>
      </c>
      <c r="C68" s="44"/>
      <c r="D68" s="42" t="s">
        <v>4</v>
      </c>
      <c r="E68" s="29" t="str">
        <f>"(Worksheet A ln "&amp;'WS A  - RB Support '!A29&amp;".C)"</f>
        <v>(Worksheet A ln 8.C)</v>
      </c>
      <c r="F68" s="29"/>
      <c r="G68" s="122">
        <f>-'WS A  - RB Support '!E29</f>
        <v>0</v>
      </c>
      <c r="H68" s="122"/>
      <c r="I68" s="49" t="s">
        <v>571</v>
      </c>
      <c r="J68" s="50">
        <f t="shared" si="1"/>
        <v>0.9987295825771325</v>
      </c>
      <c r="K68" s="29"/>
      <c r="L68" s="122">
        <f>+G68*J68</f>
        <v>0</v>
      </c>
      <c r="M68" s="19"/>
    </row>
    <row r="69" spans="2:15" ht="15" thickBot="1">
      <c r="B69" s="92">
        <f t="shared" si="0"/>
        <v>205</v>
      </c>
      <c r="C69" s="44"/>
      <c r="D69" s="17" t="s">
        <v>572</v>
      </c>
      <c r="E69" s="29" t="str">
        <f>"(Worksheet A ln "&amp;'WS A  - RB Support '!A31&amp;".C)"</f>
        <v>(Worksheet A ln 9.C)</v>
      </c>
      <c r="F69" s="29"/>
      <c r="G69" s="123">
        <f>+'WS A  - RB Support '!E31</f>
        <v>0</v>
      </c>
      <c r="H69" s="122"/>
      <c r="I69" s="49" t="s">
        <v>571</v>
      </c>
      <c r="J69" s="50">
        <f t="shared" si="1"/>
        <v>0.9987295825771325</v>
      </c>
      <c r="K69" s="29"/>
      <c r="L69" s="123">
        <f>+J69*G69</f>
        <v>0</v>
      </c>
      <c r="M69" s="19"/>
      <c r="N69" s="33"/>
      <c r="O69" s="33"/>
    </row>
    <row r="70" spans="2:15" ht="15">
      <c r="B70" s="92">
        <f>+B69+1</f>
        <v>206</v>
      </c>
      <c r="C70" s="44"/>
      <c r="D70" s="17" t="s">
        <v>518</v>
      </c>
      <c r="E70" s="29" t="str">
        <f>"(Sum of Lines: "&amp;B61&amp;" to "&amp;B64&amp;" &amp; "&amp;B67&amp;" to "&amp;B69&amp;")"</f>
        <v>(Sum of Lines: 197 to 200 &amp; 203 to 205)</v>
      </c>
      <c r="F70" s="708"/>
      <c r="G70" s="122">
        <f>SUM(G59:G69)</f>
        <v>0</v>
      </c>
      <c r="H70" s="122"/>
      <c r="I70" s="292" t="s">
        <v>324</v>
      </c>
      <c r="J70" s="109">
        <f>IF(G70=0,0,L70/G70)</f>
        <v>0</v>
      </c>
      <c r="K70" s="29"/>
      <c r="L70" s="122">
        <f>SUM(L59:L69)</f>
        <v>0</v>
      </c>
      <c r="M70" s="19"/>
      <c r="N70" s="33"/>
      <c r="O70" s="33"/>
    </row>
    <row r="71" spans="2:15" ht="15">
      <c r="B71" s="92"/>
      <c r="C71" s="20"/>
      <c r="D71" s="17"/>
      <c r="E71" s="696"/>
      <c r="F71" s="708"/>
      <c r="G71" s="122"/>
      <c r="H71" s="122"/>
      <c r="I71" s="292" t="s">
        <v>691</v>
      </c>
      <c r="J71" s="1069">
        <f>+IF(L61=0,0,L61/(G65+G61+G66))</f>
        <v>0</v>
      </c>
      <c r="K71" s="29"/>
      <c r="L71" s="122"/>
      <c r="M71" s="19"/>
      <c r="N71" s="202"/>
      <c r="O71" s="33"/>
    </row>
    <row r="72" spans="2:15" ht="15">
      <c r="B72" s="92">
        <f>+B70+1</f>
        <v>207</v>
      </c>
      <c r="C72" s="20"/>
      <c r="D72" s="17" t="s">
        <v>496</v>
      </c>
      <c r="E72" s="41"/>
      <c r="F72" s="41"/>
      <c r="G72" s="122"/>
      <c r="H72" s="294"/>
      <c r="I72" s="49"/>
      <c r="J72" s="295"/>
      <c r="K72" s="29"/>
      <c r="L72" s="122"/>
      <c r="M72" s="19"/>
      <c r="N72" s="3"/>
      <c r="O72" s="3"/>
    </row>
    <row r="73" spans="2:15" ht="15">
      <c r="B73" s="92">
        <f>+B72+1</f>
        <v>208</v>
      </c>
      <c r="C73" s="20"/>
      <c r="D73" s="1019" t="s">
        <v>877</v>
      </c>
      <c r="E73" s="29"/>
      <c r="F73" s="29"/>
      <c r="G73" s="122"/>
      <c r="H73" s="122"/>
      <c r="I73" s="49"/>
      <c r="J73" s="50"/>
      <c r="K73" s="29"/>
      <c r="L73" s="122"/>
      <c r="M73" s="19"/>
      <c r="N73" s="3"/>
      <c r="O73" s="3"/>
    </row>
    <row r="74" spans="2:15" ht="15">
      <c r="B74" s="92">
        <f aca="true" t="shared" si="2" ref="B74:B87">+B73+1</f>
        <v>209</v>
      </c>
      <c r="C74" s="20"/>
      <c r="D74" s="1019" t="s">
        <v>877</v>
      </c>
      <c r="E74" s="29"/>
      <c r="F74" s="29"/>
      <c r="G74" s="122"/>
      <c r="H74" s="122"/>
      <c r="I74" s="49"/>
      <c r="J74" s="50"/>
      <c r="K74" s="29"/>
      <c r="L74" s="122"/>
      <c r="M74" s="19"/>
      <c r="N74" s="3"/>
      <c r="O74" s="3"/>
    </row>
    <row r="75" spans="2:15" ht="15">
      <c r="B75" s="92">
        <f t="shared" si="2"/>
        <v>210</v>
      </c>
      <c r="C75" s="44"/>
      <c r="D75" s="45" t="str">
        <f>D61</f>
        <v>  Transmission</v>
      </c>
      <c r="E75" s="29" t="s">
        <v>445</v>
      </c>
      <c r="F75" s="46"/>
      <c r="G75" s="285">
        <f>+'WS A  - RB Support '!E43</f>
        <v>0</v>
      </c>
      <c r="H75" s="122"/>
      <c r="I75" s="296" t="s">
        <v>499</v>
      </c>
      <c r="J75" s="297">
        <f>IF(G75=0,1,L75/G75)</f>
        <v>1</v>
      </c>
      <c r="K75" s="278"/>
      <c r="L75" s="122">
        <f>+'WS A  - RB Support '!E75</f>
        <v>0</v>
      </c>
      <c r="M75" s="47"/>
      <c r="N75" s="3"/>
      <c r="O75" s="3"/>
    </row>
    <row r="76" spans="2:15" ht="15">
      <c r="B76" s="92">
        <f t="shared" si="2"/>
        <v>211</v>
      </c>
      <c r="C76" s="44"/>
      <c r="D76" s="42" t="s">
        <v>5</v>
      </c>
      <c r="E76" s="29" t="str">
        <f>"(Worksheet A ln "&amp;'WS A  - RB Support '!A45&amp;".C)"</f>
        <v>(Worksheet A ln 15.C)</v>
      </c>
      <c r="F76" s="46"/>
      <c r="G76" s="122">
        <f>-'WS A  - RB Support '!E45</f>
        <v>0</v>
      </c>
      <c r="H76" s="122"/>
      <c r="I76" s="296" t="s">
        <v>499</v>
      </c>
      <c r="J76" s="50">
        <f>+J75</f>
        <v>1</v>
      </c>
      <c r="K76" s="278"/>
      <c r="L76" s="122">
        <f>+J76*G76</f>
        <v>0</v>
      </c>
      <c r="M76" s="47"/>
      <c r="N76" s="3"/>
      <c r="O76" s="3"/>
    </row>
    <row r="77" spans="2:15" ht="15">
      <c r="B77" s="92">
        <f t="shared" si="2"/>
        <v>212</v>
      </c>
      <c r="C77" s="44"/>
      <c r="D77" s="466" t="s">
        <v>241</v>
      </c>
      <c r="E77" s="46"/>
      <c r="F77" s="46"/>
      <c r="G77" s="477" t="s">
        <v>3</v>
      </c>
      <c r="H77" s="707"/>
      <c r="I77" s="284" t="s">
        <v>569</v>
      </c>
      <c r="J77" s="50">
        <f aca="true" t="shared" si="3" ref="J77:J86">VLOOKUP(I77,APCo_Hist_Allocators,2,FALSE)</f>
        <v>1</v>
      </c>
      <c r="K77" s="278"/>
      <c r="L77" s="477" t="s">
        <v>3</v>
      </c>
      <c r="M77" s="47"/>
      <c r="N77" s="3"/>
      <c r="O77" s="3"/>
    </row>
    <row r="78" spans="2:15" ht="15">
      <c r="B78" s="92">
        <f t="shared" si="2"/>
        <v>213</v>
      </c>
      <c r="C78" s="44"/>
      <c r="D78" s="466" t="s">
        <v>244</v>
      </c>
      <c r="E78" s="46"/>
      <c r="F78" s="46"/>
      <c r="G78" s="477" t="s">
        <v>3</v>
      </c>
      <c r="H78" s="707"/>
      <c r="I78" s="284" t="s">
        <v>569</v>
      </c>
      <c r="J78" s="50">
        <f t="shared" si="3"/>
        <v>1</v>
      </c>
      <c r="K78" s="278"/>
      <c r="L78" s="477" t="s">
        <v>3</v>
      </c>
      <c r="M78" s="47"/>
      <c r="N78" s="3"/>
      <c r="O78" s="3"/>
    </row>
    <row r="79" spans="2:15" ht="15">
      <c r="B79" s="92">
        <f t="shared" si="2"/>
        <v>214</v>
      </c>
      <c r="C79" s="44"/>
      <c r="D79" s="466" t="str">
        <f>"     Plus: Additional Transmission Depreciation for "&amp;O1+1&amp;"  (ln "&amp;B175&amp;")"</f>
        <v>     Plus: Additional Transmission Depreciation for 2015  (ln 285)</v>
      </c>
      <c r="E79" s="46"/>
      <c r="F79" s="46"/>
      <c r="G79" s="477" t="s">
        <v>3</v>
      </c>
      <c r="H79" s="707"/>
      <c r="I79" s="284" t="s">
        <v>498</v>
      </c>
      <c r="J79" s="50">
        <f t="shared" si="3"/>
        <v>1</v>
      </c>
      <c r="K79" s="278"/>
      <c r="L79" s="477" t="s">
        <v>3</v>
      </c>
      <c r="M79" s="47"/>
      <c r="N79" s="3"/>
      <c r="O79" s="3"/>
    </row>
    <row r="80" spans="2:15" ht="15">
      <c r="B80" s="92">
        <f t="shared" si="2"/>
        <v>215</v>
      </c>
      <c r="C80" s="44"/>
      <c r="D80" s="467" t="str">
        <f>"     Plus: Additional General &amp; Intangible Depreciation for "&amp;O1+1&amp;" (ln "&amp;B174&amp;" + ln "&amp;B175&amp;")"</f>
        <v>     Plus: Additional General &amp; Intangible Depreciation for 2015 (ln 284 + ln 285)</v>
      </c>
      <c r="E80" s="46"/>
      <c r="F80" s="46"/>
      <c r="G80" s="477" t="s">
        <v>3</v>
      </c>
      <c r="H80" s="707"/>
      <c r="I80" s="284" t="s">
        <v>571</v>
      </c>
      <c r="J80" s="50">
        <f t="shared" si="3"/>
        <v>0.9987295825771325</v>
      </c>
      <c r="K80" s="278"/>
      <c r="L80" s="477" t="s">
        <v>3</v>
      </c>
      <c r="M80" s="47"/>
      <c r="N80" s="3"/>
      <c r="O80" s="3"/>
    </row>
    <row r="81" spans="2:15" ht="15">
      <c r="B81" s="92">
        <f t="shared" si="2"/>
        <v>216</v>
      </c>
      <c r="C81" s="44"/>
      <c r="D81" s="466" t="s">
        <v>243</v>
      </c>
      <c r="E81" s="46"/>
      <c r="F81" s="46"/>
      <c r="G81" s="477" t="s">
        <v>3</v>
      </c>
      <c r="H81" s="707"/>
      <c r="I81" s="284" t="s">
        <v>569</v>
      </c>
      <c r="J81" s="50">
        <f t="shared" si="3"/>
        <v>1</v>
      </c>
      <c r="K81" s="278"/>
      <c r="L81" s="477" t="s">
        <v>3</v>
      </c>
      <c r="M81" s="47"/>
      <c r="N81" s="3"/>
      <c r="O81" s="3"/>
    </row>
    <row r="82" spans="2:15" ht="15">
      <c r="B82" s="92">
        <f t="shared" si="2"/>
        <v>217</v>
      </c>
      <c r="C82" s="44"/>
      <c r="D82" s="1019" t="s">
        <v>877</v>
      </c>
      <c r="E82" s="29"/>
      <c r="F82" s="29"/>
      <c r="G82" s="122"/>
      <c r="H82" s="122"/>
      <c r="I82" s="49"/>
      <c r="J82" s="50"/>
      <c r="K82" s="29"/>
      <c r="L82" s="122"/>
      <c r="M82" s="19"/>
      <c r="N82" s="3"/>
      <c r="O82" s="3"/>
    </row>
    <row r="83" spans="2:15" ht="15">
      <c r="B83" s="92">
        <f t="shared" si="2"/>
        <v>218</v>
      </c>
      <c r="C83" s="44"/>
      <c r="D83" s="1019" t="s">
        <v>877</v>
      </c>
      <c r="E83" s="29"/>
      <c r="F83" s="29"/>
      <c r="G83" s="122"/>
      <c r="H83" s="122"/>
      <c r="I83" s="49"/>
      <c r="J83" s="50"/>
      <c r="K83" s="29"/>
      <c r="L83" s="122"/>
      <c r="M83" s="19"/>
      <c r="N83" s="3"/>
      <c r="O83" s="3"/>
    </row>
    <row r="84" spans="2:15" ht="15">
      <c r="B84" s="92">
        <f t="shared" si="2"/>
        <v>219</v>
      </c>
      <c r="C84" s="208"/>
      <c r="D84" s="57" t="str">
        <f>+D67</f>
        <v>  General Plant   </v>
      </c>
      <c r="E84" s="29" t="str">
        <f>"(Worksheet A ln "&amp;'WS A  - RB Support '!A51&amp;".C)"</f>
        <v>(Worksheet A ln 18.C)</v>
      </c>
      <c r="F84" s="29"/>
      <c r="G84" s="129">
        <f>+'WS A  - RB Support '!E51</f>
        <v>0</v>
      </c>
      <c r="H84" s="122"/>
      <c r="I84" s="49" t="s">
        <v>571</v>
      </c>
      <c r="J84" s="50">
        <f t="shared" si="3"/>
        <v>0.9987295825771325</v>
      </c>
      <c r="K84" s="29"/>
      <c r="L84" s="122">
        <f>+J84*G84</f>
        <v>0</v>
      </c>
      <c r="M84" s="19"/>
      <c r="N84" s="3"/>
      <c r="O84" s="3"/>
    </row>
    <row r="85" spans="2:15" ht="15">
      <c r="B85" s="92">
        <f t="shared" si="2"/>
        <v>220</v>
      </c>
      <c r="C85" s="208"/>
      <c r="D85" s="42" t="s">
        <v>4</v>
      </c>
      <c r="E85" s="29" t="str">
        <f>"(Worksheet A ln "&amp;'WS A  - RB Support '!A53&amp;".C)"</f>
        <v>(Worksheet A ln 19.C)</v>
      </c>
      <c r="F85" s="29"/>
      <c r="G85" s="122">
        <f>-'WS A  - RB Support '!E53</f>
        <v>0</v>
      </c>
      <c r="H85" s="122"/>
      <c r="I85" s="49" t="s">
        <v>571</v>
      </c>
      <c r="J85" s="50">
        <f t="shared" si="3"/>
        <v>0.9987295825771325</v>
      </c>
      <c r="K85" s="29"/>
      <c r="L85" s="122">
        <f>+J85*G85</f>
        <v>0</v>
      </c>
      <c r="M85" s="19"/>
      <c r="N85" s="3"/>
      <c r="O85" s="3"/>
    </row>
    <row r="86" spans="2:15" ht="15" thickBot="1">
      <c r="B86" s="92">
        <f t="shared" si="2"/>
        <v>221</v>
      </c>
      <c r="C86" s="208"/>
      <c r="D86" s="57" t="str">
        <f>+D69</f>
        <v>  Intangible Plant</v>
      </c>
      <c r="E86" s="29" t="str">
        <f>"(Worksheet A ln "&amp;'WS A  - RB Support '!A55&amp;".C)"</f>
        <v>(Worksheet A ln 20.C)</v>
      </c>
      <c r="F86" s="29"/>
      <c r="G86" s="123">
        <f>+'WS A  - RB Support '!E55</f>
        <v>0</v>
      </c>
      <c r="H86" s="122"/>
      <c r="I86" s="49" t="s">
        <v>571</v>
      </c>
      <c r="J86" s="50">
        <f t="shared" si="3"/>
        <v>0.9987295825771325</v>
      </c>
      <c r="K86" s="29"/>
      <c r="L86" s="123">
        <f>+J86*G86</f>
        <v>0</v>
      </c>
      <c r="M86" s="29"/>
      <c r="N86" s="3"/>
      <c r="O86" s="3"/>
    </row>
    <row r="87" spans="2:15" ht="15">
      <c r="B87" s="92">
        <f t="shared" si="2"/>
        <v>222</v>
      </c>
      <c r="C87" s="208"/>
      <c r="D87" s="57" t="s">
        <v>517</v>
      </c>
      <c r="E87" s="29" t="str">
        <f>"(Sum of Lines: "&amp;B75&amp;" to "&amp;B81&amp;" &amp; "&amp;B84&amp;" to "&amp;B86&amp;")"</f>
        <v>(Sum of Lines: 210 to 216 &amp; 219 to 221)</v>
      </c>
      <c r="F87" s="695"/>
      <c r="G87" s="122">
        <f>SUM(G73:G86)</f>
        <v>0</v>
      </c>
      <c r="H87" s="122"/>
      <c r="I87" s="49"/>
      <c r="J87" s="29"/>
      <c r="K87" s="122"/>
      <c r="L87" s="122">
        <f>SUM(L73:L86)</f>
        <v>0</v>
      </c>
      <c r="M87" s="19"/>
      <c r="N87" s="3"/>
      <c r="O87" s="3"/>
    </row>
    <row r="88" spans="2:15" ht="15">
      <c r="B88" s="92"/>
      <c r="C88" s="20"/>
      <c r="D88" s="13"/>
      <c r="E88" s="709"/>
      <c r="F88" s="695"/>
      <c r="G88" s="122"/>
      <c r="H88" s="122"/>
      <c r="I88" s="49"/>
      <c r="J88" s="298"/>
      <c r="K88" s="29"/>
      <c r="L88" s="122"/>
      <c r="M88" s="19"/>
      <c r="N88" s="3"/>
      <c r="O88" s="3"/>
    </row>
    <row r="89" spans="2:15" ht="15">
      <c r="B89" s="92">
        <f>+B87+1</f>
        <v>223</v>
      </c>
      <c r="C89" s="20"/>
      <c r="D89" s="17" t="s">
        <v>521</v>
      </c>
      <c r="E89" s="41"/>
      <c r="F89" s="41"/>
      <c r="G89" s="122"/>
      <c r="H89" s="122"/>
      <c r="I89" s="49"/>
      <c r="J89" s="29"/>
      <c r="K89" s="29"/>
      <c r="L89" s="122"/>
      <c r="M89" s="19"/>
      <c r="N89" s="3"/>
      <c r="O89" s="3"/>
    </row>
    <row r="90" spans="2:15" ht="15">
      <c r="B90" s="92">
        <f aca="true" t="shared" si="4" ref="B90:B100">+B89+1</f>
        <v>224</v>
      </c>
      <c r="C90" s="44"/>
      <c r="D90" s="1019" t="s">
        <v>877</v>
      </c>
      <c r="E90" s="29"/>
      <c r="F90" s="29"/>
      <c r="G90" s="122"/>
      <c r="H90" s="122"/>
      <c r="I90" s="49"/>
      <c r="J90" s="50"/>
      <c r="K90" s="29"/>
      <c r="L90" s="122"/>
      <c r="M90" s="19"/>
      <c r="N90" s="3"/>
      <c r="O90" s="3"/>
    </row>
    <row r="91" spans="2:15" ht="15">
      <c r="B91" s="92">
        <f t="shared" si="4"/>
        <v>225</v>
      </c>
      <c r="C91" s="44"/>
      <c r="D91" s="42" t="str">
        <f>+D75</f>
        <v>  Transmission</v>
      </c>
      <c r="E91" s="29" t="str">
        <f>" (ln "&amp;B61&amp;" + ln "&amp;B62&amp;" - ln "&amp;B75&amp;" - ln "&amp;B76&amp;")"</f>
        <v> (ln 197 + ln 198 - ln 210 - ln 211)</v>
      </c>
      <c r="F91" s="29"/>
      <c r="G91" s="122">
        <f>+G61+G62-G75-G76</f>
        <v>0</v>
      </c>
      <c r="H91" s="122"/>
      <c r="I91" s="49"/>
      <c r="J91" s="297"/>
      <c r="K91" s="29"/>
      <c r="L91" s="122">
        <f>+L61+L62-L75-L76</f>
        <v>0</v>
      </c>
      <c r="M91" s="19"/>
      <c r="N91" s="3"/>
      <c r="O91" s="3"/>
    </row>
    <row r="92" spans="2:15" ht="15">
      <c r="B92" s="92">
        <f aca="true" t="shared" si="5" ref="B92:B97">+B91+1</f>
        <v>226</v>
      </c>
      <c r="C92" s="44"/>
      <c r="D92" s="45" t="str">
        <f>"     Plus: Transmission Plant-in-Service Additions (ln "&amp;B63&amp;" - ln "&amp;B77&amp;")"</f>
        <v>     Plus: Transmission Plant-in-Service Additions (ln 199 - ln 212)</v>
      </c>
      <c r="E92" s="29"/>
      <c r="F92" s="29"/>
      <c r="G92" s="477" t="s">
        <v>3</v>
      </c>
      <c r="H92" s="107"/>
      <c r="I92" s="32"/>
      <c r="J92" s="43"/>
      <c r="K92" s="19"/>
      <c r="L92" s="477" t="s">
        <v>3</v>
      </c>
      <c r="M92" s="19"/>
      <c r="N92" s="3"/>
      <c r="O92" s="3"/>
    </row>
    <row r="93" spans="2:15" ht="15">
      <c r="B93" s="92">
        <f t="shared" si="5"/>
        <v>227</v>
      </c>
      <c r="C93" s="44"/>
      <c r="D93" s="45" t="str">
        <f>"     Plus: Additional Trans Plant on Transferred Assets  (ln "&amp;B64&amp;" - ln "&amp;B78&amp;")"</f>
        <v>     Plus: Additional Trans Plant on Transferred Assets  (ln 200 - ln 213)</v>
      </c>
      <c r="E93" s="29"/>
      <c r="F93" s="29"/>
      <c r="G93" s="477" t="s">
        <v>3</v>
      </c>
      <c r="H93" s="107"/>
      <c r="I93" s="32"/>
      <c r="J93" s="43"/>
      <c r="K93" s="19"/>
      <c r="L93" s="477" t="s">
        <v>3</v>
      </c>
      <c r="M93" s="19"/>
      <c r="N93" s="3"/>
      <c r="O93" s="3"/>
    </row>
    <row r="94" spans="2:15" ht="15">
      <c r="B94" s="92">
        <f t="shared" si="5"/>
        <v>228</v>
      </c>
      <c r="C94" s="44"/>
      <c r="D94" s="466" t="str">
        <f>"     Plus: Additional Transmission Depreciation for "&amp;O1+1&amp;"  (-ln "&amp;B79&amp;")"</f>
        <v>     Plus: Additional Transmission Depreciation for 2015  (-ln 214)</v>
      </c>
      <c r="E94" s="29"/>
      <c r="F94" s="29"/>
      <c r="G94" s="477" t="s">
        <v>3</v>
      </c>
      <c r="H94" s="107"/>
      <c r="I94" s="32"/>
      <c r="J94" s="43"/>
      <c r="K94" s="19"/>
      <c r="L94" s="477" t="s">
        <v>3</v>
      </c>
      <c r="M94" s="19"/>
      <c r="N94" s="3"/>
      <c r="O94" s="3"/>
    </row>
    <row r="95" spans="2:15" ht="15">
      <c r="B95" s="92">
        <f t="shared" si="5"/>
        <v>229</v>
      </c>
      <c r="C95" s="44"/>
      <c r="D95" s="467" t="str">
        <f>"     Plus: Additional General &amp; Intangible Depreciation for "&amp;O1+1&amp;" (-ln "&amp;B80&amp;")"</f>
        <v>     Plus: Additional General &amp; Intangible Depreciation for 2015 (-ln 215)</v>
      </c>
      <c r="E95" s="29"/>
      <c r="F95" s="29"/>
      <c r="G95" s="477" t="s">
        <v>3</v>
      </c>
      <c r="H95" s="107"/>
      <c r="I95" s="32"/>
      <c r="J95" s="43"/>
      <c r="K95" s="19"/>
      <c r="L95" s="477" t="s">
        <v>3</v>
      </c>
      <c r="M95" s="19"/>
      <c r="N95" s="3"/>
      <c r="O95" s="3"/>
    </row>
    <row r="96" spans="2:15" ht="15">
      <c r="B96" s="92">
        <f t="shared" si="5"/>
        <v>230</v>
      </c>
      <c r="C96" s="44"/>
      <c r="D96" s="466" t="str">
        <f>"     Plus: Additional Accum Deprec on Transferred Assets (Worksheet I) (-ln "&amp;B81&amp;")"</f>
        <v>     Plus: Additional Accum Deprec on Transferred Assets (Worksheet I) (-ln 216)</v>
      </c>
      <c r="E96" s="29"/>
      <c r="F96" s="29"/>
      <c r="G96" s="477" t="s">
        <v>3</v>
      </c>
      <c r="H96" s="107"/>
      <c r="I96" s="32"/>
      <c r="J96" s="43"/>
      <c r="K96" s="19"/>
      <c r="L96" s="477" t="s">
        <v>3</v>
      </c>
      <c r="M96" s="19"/>
      <c r="N96" s="3"/>
      <c r="O96" s="3"/>
    </row>
    <row r="97" spans="2:15" ht="15">
      <c r="B97" s="92">
        <f t="shared" si="5"/>
        <v>231</v>
      </c>
      <c r="C97" s="44"/>
      <c r="D97" s="1019" t="s">
        <v>877</v>
      </c>
      <c r="E97" s="29"/>
      <c r="F97" s="29"/>
      <c r="G97" s="122"/>
      <c r="H97" s="122"/>
      <c r="I97" s="49"/>
      <c r="J97" s="50"/>
      <c r="K97" s="29"/>
      <c r="L97" s="122"/>
      <c r="M97" s="19"/>
      <c r="O97" s="3"/>
    </row>
    <row r="98" spans="2:15" ht="15">
      <c r="B98" s="92">
        <f t="shared" si="4"/>
        <v>232</v>
      </c>
      <c r="C98" s="44"/>
      <c r="D98" s="42" t="str">
        <f>+D84</f>
        <v>  General Plant   </v>
      </c>
      <c r="E98" s="29" t="str">
        <f>" (ln "&amp;B67&amp;" + ln "&amp;B68&amp;" - ln "&amp;B84&amp;" - ln "&amp;B85&amp;")"</f>
        <v> (ln 203 + ln 204 - ln 219 - ln 220)</v>
      </c>
      <c r="F98" s="29"/>
      <c r="G98" s="122">
        <f>+G67+G68-G84-G85</f>
        <v>0</v>
      </c>
      <c r="H98" s="122"/>
      <c r="I98" s="49"/>
      <c r="J98" s="298"/>
      <c r="K98" s="29"/>
      <c r="L98" s="122">
        <f>+L67+L68-L84-L85</f>
        <v>0</v>
      </c>
      <c r="M98" s="19"/>
      <c r="N98" s="3"/>
      <c r="O98" s="3"/>
    </row>
    <row r="99" spans="2:15" ht="15" thickBot="1">
      <c r="B99" s="92">
        <f t="shared" si="4"/>
        <v>233</v>
      </c>
      <c r="C99" s="44"/>
      <c r="D99" s="42" t="str">
        <f>+D86</f>
        <v>  Intangible Plant</v>
      </c>
      <c r="E99" s="29" t="str">
        <f>" (ln "&amp;B69&amp;" - ln "&amp;B86&amp;")"</f>
        <v> (ln 205 - ln 221)</v>
      </c>
      <c r="F99" s="29"/>
      <c r="G99" s="123">
        <f>+G69-G86</f>
        <v>0</v>
      </c>
      <c r="H99" s="122"/>
      <c r="I99" s="49"/>
      <c r="J99" s="298"/>
      <c r="K99" s="29"/>
      <c r="L99" s="123">
        <f>+L69-L86</f>
        <v>0</v>
      </c>
      <c r="M99" s="19"/>
      <c r="N99" s="3"/>
      <c r="O99" s="3"/>
    </row>
    <row r="100" spans="2:15" ht="15">
      <c r="B100" s="92">
        <f t="shared" si="4"/>
        <v>234</v>
      </c>
      <c r="C100" s="44"/>
      <c r="D100" s="42" t="s">
        <v>516</v>
      </c>
      <c r="E100" s="29" t="str">
        <f>"(Sum of Lines: "&amp;B91&amp;" to "&amp;B96&amp;" &amp; "&amp;B98&amp;", "&amp;B99&amp;")"</f>
        <v>(Sum of Lines: 225 to 230 &amp; 232, 233)</v>
      </c>
      <c r="F100" s="29"/>
      <c r="G100" s="122">
        <f>SUM(G90:G99)</f>
        <v>0</v>
      </c>
      <c r="H100" s="122"/>
      <c r="I100" s="258" t="s">
        <v>323</v>
      </c>
      <c r="J100" s="109">
        <f>IF(G100=0,0,+L100/G100)</f>
        <v>0</v>
      </c>
      <c r="K100" s="29"/>
      <c r="L100" s="122">
        <f>SUM(L91:L99)</f>
        <v>0</v>
      </c>
      <c r="M100" s="19"/>
      <c r="N100" s="3"/>
      <c r="O100" s="3"/>
    </row>
    <row r="101" spans="2:15" ht="15">
      <c r="B101" s="92"/>
      <c r="C101" s="20"/>
      <c r="D101" s="17"/>
      <c r="E101" s="29"/>
      <c r="F101" s="29"/>
      <c r="G101" s="122"/>
      <c r="H101" s="122"/>
      <c r="I101" s="15"/>
      <c r="J101" s="299"/>
      <c r="K101" s="29"/>
      <c r="L101" s="122"/>
      <c r="M101" s="19"/>
      <c r="N101" s="3"/>
      <c r="O101" s="3"/>
    </row>
    <row r="102" spans="2:15" ht="15">
      <c r="B102" s="92"/>
      <c r="C102" s="20"/>
      <c r="D102" s="13"/>
      <c r="G102" s="707"/>
      <c r="H102" s="707"/>
      <c r="I102" s="707"/>
      <c r="J102" s="707"/>
      <c r="K102" s="707"/>
      <c r="L102" s="707"/>
      <c r="M102"/>
      <c r="N102" s="3"/>
      <c r="O102" s="3"/>
    </row>
    <row r="103" spans="2:15" ht="15">
      <c r="B103" s="92">
        <f>+B100+1</f>
        <v>235</v>
      </c>
      <c r="C103" s="20"/>
      <c r="D103" s="17" t="s">
        <v>950</v>
      </c>
      <c r="E103" s="29" t="s">
        <v>926</v>
      </c>
      <c r="F103" s="49"/>
      <c r="G103" s="707"/>
      <c r="H103" s="707"/>
      <c r="I103" s="707"/>
      <c r="J103" s="707"/>
      <c r="K103" s="707"/>
      <c r="L103" s="707"/>
      <c r="M103"/>
      <c r="N103" s="3"/>
      <c r="O103" s="3"/>
    </row>
    <row r="104" spans="2:15" ht="15">
      <c r="B104" s="92">
        <f aca="true" t="shared" si="6" ref="B104:B109">+B103+1</f>
        <v>236</v>
      </c>
      <c r="C104" s="44"/>
      <c r="D104" s="61" t="s">
        <v>653</v>
      </c>
      <c r="E104" s="29" t="s">
        <v>454</v>
      </c>
      <c r="F104" s="29"/>
      <c r="G104" s="122">
        <f>-'WS B ADIT &amp; ITC'!E15</f>
        <v>0</v>
      </c>
      <c r="H104" s="122"/>
      <c r="I104" s="49" t="s">
        <v>567</v>
      </c>
      <c r="J104" s="50"/>
      <c r="K104" s="29"/>
      <c r="L104" s="122">
        <f>-'WS B ADIT &amp; ITC'!E18</f>
        <v>0</v>
      </c>
      <c r="M104" s="19"/>
      <c r="N104" s="3"/>
      <c r="O104" s="3"/>
    </row>
    <row r="105" spans="2:15" ht="15">
      <c r="B105" s="92">
        <f t="shared" si="6"/>
        <v>237</v>
      </c>
      <c r="C105" s="44"/>
      <c r="D105" s="61" t="s">
        <v>654</v>
      </c>
      <c r="E105" s="29" t="s">
        <v>455</v>
      </c>
      <c r="F105" s="29"/>
      <c r="G105" s="122">
        <f>-'WS B ADIT &amp; ITC'!E23</f>
        <v>-4721</v>
      </c>
      <c r="H105" s="122"/>
      <c r="I105" s="49" t="s">
        <v>569</v>
      </c>
      <c r="J105" s="50"/>
      <c r="K105" s="29"/>
      <c r="L105" s="122">
        <f>-'WS B ADIT &amp; ITC'!E26</f>
        <v>-4721</v>
      </c>
      <c r="M105" s="19"/>
      <c r="N105" s="3"/>
      <c r="O105" s="3"/>
    </row>
    <row r="106" spans="2:15" ht="15">
      <c r="B106" s="92">
        <f t="shared" si="6"/>
        <v>238</v>
      </c>
      <c r="C106" s="44"/>
      <c r="D106" s="61" t="s">
        <v>655</v>
      </c>
      <c r="E106" s="29" t="s">
        <v>456</v>
      </c>
      <c r="F106" s="29"/>
      <c r="G106" s="122">
        <f>-'WS B ADIT &amp; ITC'!E31</f>
        <v>-63470</v>
      </c>
      <c r="H106" s="122"/>
      <c r="I106" s="49" t="s">
        <v>569</v>
      </c>
      <c r="J106" s="50"/>
      <c r="K106" s="29"/>
      <c r="L106" s="122">
        <f>-'WS B ADIT &amp; ITC'!E34</f>
        <v>-63470</v>
      </c>
      <c r="M106" s="19"/>
      <c r="N106" s="3"/>
      <c r="O106" s="3"/>
    </row>
    <row r="107" spans="2:15" ht="15">
      <c r="B107" s="92">
        <f t="shared" si="6"/>
        <v>239</v>
      </c>
      <c r="C107" s="44"/>
      <c r="D107" s="61" t="s">
        <v>656</v>
      </c>
      <c r="E107" s="29" t="s">
        <v>457</v>
      </c>
      <c r="F107" s="29"/>
      <c r="G107" s="122">
        <f>+'WS B ADIT &amp; ITC'!E39</f>
        <v>49233</v>
      </c>
      <c r="H107" s="122"/>
      <c r="I107" s="49" t="s">
        <v>569</v>
      </c>
      <c r="J107" s="50"/>
      <c r="K107" s="29"/>
      <c r="L107" s="122">
        <f>+'WS B ADIT &amp; ITC'!E42</f>
        <v>49233</v>
      </c>
      <c r="M107" s="19"/>
      <c r="N107" s="3"/>
      <c r="O107" s="3"/>
    </row>
    <row r="108" spans="2:15" ht="15" thickBot="1">
      <c r="B108" s="92">
        <f t="shared" si="6"/>
        <v>240</v>
      </c>
      <c r="C108" s="44"/>
      <c r="D108" s="51" t="s">
        <v>573</v>
      </c>
      <c r="E108" s="29" t="s">
        <v>458</v>
      </c>
      <c r="F108" s="15"/>
      <c r="G108" s="123">
        <f>-+'WS B ADIT &amp; ITC'!E49</f>
        <v>0</v>
      </c>
      <c r="H108" s="122"/>
      <c r="I108" s="49" t="s">
        <v>569</v>
      </c>
      <c r="J108" s="50"/>
      <c r="K108" s="29"/>
      <c r="L108" s="123">
        <f>-+'WS B ADIT &amp; ITC'!E50</f>
        <v>0</v>
      </c>
      <c r="M108" s="52"/>
      <c r="N108" s="3"/>
      <c r="O108" s="3"/>
    </row>
    <row r="109" spans="2:14" ht="15">
      <c r="B109" s="92">
        <f t="shared" si="6"/>
        <v>241</v>
      </c>
      <c r="C109" s="44"/>
      <c r="D109" s="42" t="s">
        <v>530</v>
      </c>
      <c r="E109" s="42" t="str">
        <f>"(sum lns "&amp;B104&amp;" to "&amp;B108&amp;")"</f>
        <v>(sum lns 236 to 240)</v>
      </c>
      <c r="F109" s="29"/>
      <c r="G109" s="122">
        <f>SUM(G104:G108)</f>
        <v>-18958</v>
      </c>
      <c r="H109" s="255"/>
      <c r="I109" s="49"/>
      <c r="J109" s="300"/>
      <c r="K109" s="29"/>
      <c r="L109" s="122">
        <f>SUM(L104:L108)</f>
        <v>-18958</v>
      </c>
      <c r="M109" s="19"/>
      <c r="N109" s="53"/>
    </row>
    <row r="110" spans="2:13" ht="15">
      <c r="B110" s="92"/>
      <c r="C110" s="20"/>
      <c r="D110" s="42"/>
      <c r="E110" s="29"/>
      <c r="F110" s="29"/>
      <c r="G110" s="122"/>
      <c r="H110" s="255"/>
      <c r="I110" s="49"/>
      <c r="J110" s="298"/>
      <c r="K110" s="29"/>
      <c r="L110" s="122"/>
      <c r="M110" s="19"/>
    </row>
    <row r="111" spans="2:13" ht="15">
      <c r="B111" s="92">
        <f>+B109+1</f>
        <v>242</v>
      </c>
      <c r="C111" s="20"/>
      <c r="D111" s="42" t="s">
        <v>669</v>
      </c>
      <c r="E111" s="29" t="str">
        <f>"(Worksheet A ln "&amp;'WS A  - RB Support '!A79&amp;".C &amp; ln "&amp;'WS A  - RB Support '!A81&amp;".C)"</f>
        <v>(Worksheet A ln 29.C &amp; ln 30.C)</v>
      </c>
      <c r="F111" s="29"/>
      <c r="G111" s="122">
        <f>+'WS A  - RB Support '!E79</f>
        <v>0</v>
      </c>
      <c r="H111" s="255"/>
      <c r="I111" s="49" t="s">
        <v>569</v>
      </c>
      <c r="J111" s="50"/>
      <c r="K111" s="29"/>
      <c r="L111" s="122">
        <f>+'WS A  - RB Support '!E81</f>
        <v>0</v>
      </c>
      <c r="M111" s="19"/>
    </row>
    <row r="112" spans="2:13" ht="15">
      <c r="B112" s="92"/>
      <c r="C112" s="20"/>
      <c r="D112" s="42"/>
      <c r="E112" s="29"/>
      <c r="F112" s="29"/>
      <c r="G112" s="122"/>
      <c r="H112" s="255"/>
      <c r="I112" s="49"/>
      <c r="J112" s="50"/>
      <c r="K112" s="29"/>
      <c r="L112" s="122"/>
      <c r="M112" s="19"/>
    </row>
    <row r="113" spans="2:14" ht="15">
      <c r="B113" s="92">
        <f>+B111+1</f>
        <v>243</v>
      </c>
      <c r="C113" s="80"/>
      <c r="D113" s="61" t="s">
        <v>951</v>
      </c>
      <c r="E113" s="29" t="str">
        <f>"(Worksheet A ln "&amp;'WS A  - RB Support '!A95&amp;". "&amp;'WS A  - RB Support '!E6&amp;")"</f>
        <v>(Worksheet A ln 41. (C))</v>
      </c>
      <c r="F113" s="29"/>
      <c r="G113" s="122">
        <f>+'WS A  - RB Support '!E95</f>
        <v>0</v>
      </c>
      <c r="H113" s="255"/>
      <c r="I113" s="49" t="s">
        <v>569</v>
      </c>
      <c r="J113" s="29"/>
      <c r="K113" s="29"/>
      <c r="L113" s="122">
        <f>+G113</f>
        <v>0</v>
      </c>
      <c r="M113" s="29"/>
      <c r="N113" s="59"/>
    </row>
    <row r="114" spans="2:13" ht="15">
      <c r="B114" s="92"/>
      <c r="C114" s="20"/>
      <c r="D114" s="42"/>
      <c r="E114" s="29"/>
      <c r="F114" s="29"/>
      <c r="G114" s="122"/>
      <c r="H114" s="255"/>
      <c r="I114" s="49"/>
      <c r="J114" s="29"/>
      <c r="K114" s="29"/>
      <c r="L114" s="122"/>
      <c r="M114" s="19"/>
    </row>
    <row r="115" spans="2:13" ht="15">
      <c r="B115" s="92">
        <f>+B113+1</f>
        <v>244</v>
      </c>
      <c r="C115" s="20"/>
      <c r="D115" s="42" t="s">
        <v>531</v>
      </c>
      <c r="E115" s="29" t="s">
        <v>286</v>
      </c>
      <c r="F115" s="29"/>
      <c r="G115" s="122"/>
      <c r="H115" s="255"/>
      <c r="I115" s="49"/>
      <c r="J115" s="29"/>
      <c r="K115" s="29"/>
      <c r="L115" s="122"/>
      <c r="M115" s="19"/>
    </row>
    <row r="116" spans="2:13" ht="15">
      <c r="B116" s="92">
        <f aca="true" t="shared" si="7" ref="B116:B124">+B115+1</f>
        <v>245</v>
      </c>
      <c r="C116" s="44"/>
      <c r="D116" s="42" t="s">
        <v>667</v>
      </c>
      <c r="E116" s="15" t="str">
        <f>"(1/8 * ln "&amp;B152&amp;")"</f>
        <v>(1/8 * ln 265)</v>
      </c>
      <c r="F116" s="15"/>
      <c r="G116" s="122">
        <f>+G152/8</f>
        <v>1873.375</v>
      </c>
      <c r="H116" s="29"/>
      <c r="I116" s="49"/>
      <c r="J116" s="298"/>
      <c r="K116" s="29"/>
      <c r="L116" s="122">
        <f>+L152/8</f>
        <v>1873.375</v>
      </c>
      <c r="M116" s="18"/>
    </row>
    <row r="117" spans="2:13" ht="15">
      <c r="B117" s="92">
        <f t="shared" si="7"/>
        <v>246</v>
      </c>
      <c r="C117" s="208"/>
      <c r="D117" s="42" t="s">
        <v>958</v>
      </c>
      <c r="E117" s="29" t="s">
        <v>184</v>
      </c>
      <c r="F117" s="29"/>
      <c r="G117" s="122">
        <f>+'WS C  - Working Capital'!E15</f>
        <v>0</v>
      </c>
      <c r="H117" s="707"/>
      <c r="I117" s="32" t="s">
        <v>561</v>
      </c>
      <c r="J117" s="50">
        <f aca="true" t="shared" si="8" ref="J117:J123">VLOOKUP(I117,APCo_Hist_Allocators,2,FALSE)</f>
        <v>1</v>
      </c>
      <c r="K117" s="19"/>
      <c r="L117" s="107">
        <f>+J117*G117</f>
        <v>0</v>
      </c>
      <c r="M117" s="29"/>
    </row>
    <row r="118" spans="2:13" ht="15">
      <c r="B118" s="92">
        <f t="shared" si="7"/>
        <v>247</v>
      </c>
      <c r="C118" s="208"/>
      <c r="D118" s="42" t="s">
        <v>959</v>
      </c>
      <c r="E118" s="29" t="s">
        <v>185</v>
      </c>
      <c r="F118" s="29"/>
      <c r="G118" s="122">
        <f>+'WS C  - Working Capital'!E17</f>
        <v>0</v>
      </c>
      <c r="H118" s="707"/>
      <c r="I118" s="32" t="s">
        <v>571</v>
      </c>
      <c r="J118" s="50">
        <f t="shared" si="8"/>
        <v>0.9987295825771325</v>
      </c>
      <c r="K118" s="19"/>
      <c r="L118" s="107">
        <f>+J118*G118</f>
        <v>0</v>
      </c>
      <c r="M118" s="29"/>
    </row>
    <row r="119" spans="2:13" ht="15">
      <c r="B119" s="92">
        <f t="shared" si="7"/>
        <v>248</v>
      </c>
      <c r="C119" s="208"/>
      <c r="D119" s="42" t="s">
        <v>354</v>
      </c>
      <c r="E119" s="29" t="s">
        <v>459</v>
      </c>
      <c r="F119" s="29"/>
      <c r="G119" s="122">
        <f>+'WS C  - Working Capital'!E19</f>
        <v>0</v>
      </c>
      <c r="H119" s="707"/>
      <c r="I119" s="32" t="s">
        <v>960</v>
      </c>
      <c r="J119" s="50">
        <f t="shared" si="8"/>
        <v>0</v>
      </c>
      <c r="K119" s="19"/>
      <c r="L119" s="107">
        <f>+J119*G119</f>
        <v>0</v>
      </c>
      <c r="M119" s="29"/>
    </row>
    <row r="120" spans="2:13" ht="15">
      <c r="B120" s="92">
        <f t="shared" si="7"/>
        <v>249</v>
      </c>
      <c r="C120" s="208"/>
      <c r="D120" s="61" t="s">
        <v>683</v>
      </c>
      <c r="E120" s="29" t="s">
        <v>460</v>
      </c>
      <c r="F120" s="29"/>
      <c r="G120" s="122">
        <f>+'WS C  - Working Capital'!J27</f>
        <v>0</v>
      </c>
      <c r="H120" s="255"/>
      <c r="I120" s="49" t="s">
        <v>571</v>
      </c>
      <c r="J120" s="50">
        <f t="shared" si="8"/>
        <v>0.9987295825771325</v>
      </c>
      <c r="K120" s="29"/>
      <c r="L120" s="122">
        <f>+J120*G120</f>
        <v>0</v>
      </c>
      <c r="M120" s="29"/>
    </row>
    <row r="121" spans="2:13" ht="15">
      <c r="B121" s="92">
        <f t="shared" si="7"/>
        <v>250</v>
      </c>
      <c r="C121" s="44"/>
      <c r="D121" s="42" t="s">
        <v>684</v>
      </c>
      <c r="E121" s="29" t="s">
        <v>461</v>
      </c>
      <c r="F121" s="29"/>
      <c r="G121" s="122">
        <f>+'WS C  - Working Capital'!I27</f>
        <v>0</v>
      </c>
      <c r="H121" s="255"/>
      <c r="I121" s="49" t="s">
        <v>960</v>
      </c>
      <c r="J121" s="50">
        <f t="shared" si="8"/>
        <v>0</v>
      </c>
      <c r="K121" s="29"/>
      <c r="L121" s="122">
        <f>+G121*J121</f>
        <v>0</v>
      </c>
      <c r="M121" s="29"/>
    </row>
    <row r="122" spans="2:13" ht="15">
      <c r="B122" s="92">
        <f t="shared" si="7"/>
        <v>251</v>
      </c>
      <c r="C122" s="44"/>
      <c r="D122" s="42" t="s">
        <v>929</v>
      </c>
      <c r="E122" s="29" t="s">
        <v>462</v>
      </c>
      <c r="F122" s="29"/>
      <c r="G122" s="122">
        <f>+'WS C  - Working Capital'!G27</f>
        <v>0</v>
      </c>
      <c r="H122" s="255"/>
      <c r="I122" s="49" t="s">
        <v>569</v>
      </c>
      <c r="J122" s="50">
        <f t="shared" si="8"/>
        <v>1</v>
      </c>
      <c r="K122" s="29"/>
      <c r="L122" s="122">
        <f>+G122</f>
        <v>0</v>
      </c>
      <c r="M122" s="29"/>
    </row>
    <row r="123" spans="2:13" ht="15" thickBot="1">
      <c r="B123" s="92">
        <f t="shared" si="7"/>
        <v>252</v>
      </c>
      <c r="C123" s="44"/>
      <c r="D123" s="42" t="s">
        <v>545</v>
      </c>
      <c r="E123" s="29" t="s">
        <v>463</v>
      </c>
      <c r="F123" s="29"/>
      <c r="G123" s="123">
        <f>+'WS C  - Working Capital'!E27</f>
        <v>0</v>
      </c>
      <c r="H123" s="122"/>
      <c r="I123" s="49" t="s">
        <v>567</v>
      </c>
      <c r="J123" s="50">
        <f t="shared" si="8"/>
        <v>0</v>
      </c>
      <c r="K123" s="29"/>
      <c r="L123" s="123">
        <f>+G123*J123</f>
        <v>0</v>
      </c>
      <c r="M123" s="29"/>
    </row>
    <row r="124" spans="2:13" ht="15">
      <c r="B124" s="92">
        <f t="shared" si="7"/>
        <v>253</v>
      </c>
      <c r="C124" s="44"/>
      <c r="D124" s="42" t="s">
        <v>515</v>
      </c>
      <c r="E124" s="42" t="str">
        <f>"(sum lns "&amp;B116&amp;" to "&amp;B123&amp;")"</f>
        <v>(sum lns 245 to 252)</v>
      </c>
      <c r="F124" s="26"/>
      <c r="G124" s="122">
        <f>SUM(G116:G123)</f>
        <v>1873.375</v>
      </c>
      <c r="H124" s="26"/>
      <c r="I124" s="80"/>
      <c r="J124" s="26"/>
      <c r="K124" s="26"/>
      <c r="L124" s="122">
        <f>SUM(L116:L123)</f>
        <v>1873.375</v>
      </c>
      <c r="M124" s="18"/>
    </row>
    <row r="125" spans="2:13" ht="15">
      <c r="B125" s="92"/>
      <c r="C125" s="20"/>
      <c r="D125" s="42"/>
      <c r="E125" s="18"/>
      <c r="F125" s="18"/>
      <c r="G125" s="107"/>
      <c r="H125" s="18"/>
      <c r="I125" s="20"/>
      <c r="J125" s="18"/>
      <c r="K125" s="18"/>
      <c r="L125" s="107"/>
      <c r="M125" s="18"/>
    </row>
    <row r="126" spans="2:13" ht="15">
      <c r="B126" s="92">
        <f>+B124+1</f>
        <v>254</v>
      </c>
      <c r="C126" s="20"/>
      <c r="D126" s="61" t="s">
        <v>501</v>
      </c>
      <c r="E126" s="17" t="s">
        <v>464</v>
      </c>
      <c r="F126" s="18"/>
      <c r="G126" s="107">
        <f>+'WS D IPP Credits'!C19</f>
        <v>0</v>
      </c>
      <c r="H126" s="18"/>
      <c r="I126" s="132" t="s">
        <v>569</v>
      </c>
      <c r="J126" s="50">
        <f>VLOOKUP(I126,APCo_Hist_Allocators,2,FALSE)</f>
        <v>1</v>
      </c>
      <c r="K126" s="19"/>
      <c r="L126" s="107">
        <f>+J126*G126</f>
        <v>0</v>
      </c>
      <c r="M126" s="18"/>
    </row>
    <row r="127" spans="2:13" ht="15" thickBot="1">
      <c r="B127" s="92"/>
      <c r="C127" s="13"/>
      <c r="D127" s="51"/>
      <c r="E127" s="19"/>
      <c r="F127" s="19"/>
      <c r="G127" s="108"/>
      <c r="H127" s="19"/>
      <c r="I127" s="32"/>
      <c r="J127" s="19"/>
      <c r="K127" s="19"/>
      <c r="L127" s="108"/>
      <c r="M127" s="19"/>
    </row>
    <row r="128" spans="2:13" ht="15" thickBot="1">
      <c r="B128" s="92">
        <f>+B126+1</f>
        <v>255</v>
      </c>
      <c r="C128" s="20"/>
      <c r="D128" s="17" t="str">
        <f>"RATE BASE  (sum lns "&amp;B100&amp;", "&amp;B109&amp;", "&amp;B111&amp;", "&amp;B113&amp;", "&amp;B124&amp;", "&amp;B126&amp;")"</f>
        <v>RATE BASE  (sum lns 234, 241, 242, 243, 253, 254)</v>
      </c>
      <c r="E128" s="19"/>
      <c r="F128" s="19"/>
      <c r="G128" s="119">
        <f>+G124+G111+G109+G100+G126+G113</f>
        <v>-17084.625</v>
      </c>
      <c r="H128" s="19"/>
      <c r="I128" s="19"/>
      <c r="J128" s="48"/>
      <c r="K128" s="19"/>
      <c r="L128" s="119">
        <f>+L124+L111+L109+L100+L126+L113</f>
        <v>-17084.625</v>
      </c>
      <c r="M128" s="19"/>
    </row>
    <row r="129" spans="2:13" ht="15.75" thickTop="1">
      <c r="B129" s="92"/>
      <c r="C129" s="707"/>
      <c r="D129" s="707"/>
      <c r="E129" s="707"/>
      <c r="F129" s="707"/>
      <c r="G129" s="707"/>
      <c r="H129" s="707"/>
      <c r="I129" s="14"/>
      <c r="J129" s="14"/>
      <c r="K129" s="14"/>
      <c r="L129" s="15"/>
      <c r="M129" s="13"/>
    </row>
    <row r="130" spans="2:13" ht="15">
      <c r="B130" s="639"/>
      <c r="C130" s="20"/>
      <c r="D130" s="17"/>
      <c r="E130" s="19"/>
      <c r="F130" s="19"/>
      <c r="G130" s="19"/>
      <c r="H130" s="19"/>
      <c r="I130" s="19"/>
      <c r="J130" s="19"/>
      <c r="K130" s="19"/>
      <c r="L130" s="19"/>
      <c r="M130" s="19"/>
    </row>
    <row r="131" spans="2:13" ht="15">
      <c r="B131" s="639"/>
      <c r="C131" s="20"/>
      <c r="D131" s="17"/>
      <c r="E131" s="19"/>
      <c r="F131" s="32" t="str">
        <f>F47</f>
        <v>AEPTCo subsidiaries in PJM</v>
      </c>
      <c r="G131" s="32"/>
      <c r="H131" s="19"/>
      <c r="I131" s="19"/>
      <c r="J131" s="19"/>
      <c r="K131" s="19"/>
      <c r="L131" s="19"/>
      <c r="M131" s="65"/>
    </row>
    <row r="132" spans="2:13" ht="15">
      <c r="B132" s="639"/>
      <c r="C132" s="20"/>
      <c r="D132" s="17"/>
      <c r="E132" s="19"/>
      <c r="F132" s="32" t="str">
        <f>F48</f>
        <v>Transmission Cost of Service Formula Rate</v>
      </c>
      <c r="G132" s="32"/>
      <c r="H132" s="19"/>
      <c r="I132" s="19"/>
      <c r="J132" s="19"/>
      <c r="K132" s="19"/>
      <c r="L132" s="19"/>
      <c r="M132" s="65"/>
    </row>
    <row r="133" spans="2:13" ht="15">
      <c r="B133" s="639"/>
      <c r="C133" s="20"/>
      <c r="D133" s="13"/>
      <c r="E133" s="19"/>
      <c r="F133" s="32" t="str">
        <f>F49</f>
        <v>Utilizing  Historic Cost Data for 2014 with Year-End Rate Base Balances</v>
      </c>
      <c r="G133" s="19"/>
      <c r="H133" s="19"/>
      <c r="I133" s="19"/>
      <c r="J133" s="19"/>
      <c r="K133" s="19"/>
      <c r="L133" s="19"/>
      <c r="M133" s="145"/>
    </row>
    <row r="134" spans="2:13" ht="15">
      <c r="B134" s="639"/>
      <c r="C134" s="20"/>
      <c r="D134" s="13"/>
      <c r="E134" s="19"/>
      <c r="F134" s="32"/>
      <c r="G134" s="19"/>
      <c r="H134" s="19"/>
      <c r="I134" s="19"/>
      <c r="J134" s="19"/>
      <c r="K134" s="19"/>
      <c r="L134" s="19"/>
      <c r="M134" s="19"/>
    </row>
    <row r="135" spans="2:13" ht="15">
      <c r="B135" s="639"/>
      <c r="C135" s="20"/>
      <c r="D135" s="13"/>
      <c r="E135" s="23"/>
      <c r="F135" s="32" t="str">
        <f>F51</f>
        <v>AEP KENTUCKY TRANSMISSION COMPANY</v>
      </c>
      <c r="G135" s="23"/>
      <c r="H135" s="85"/>
      <c r="I135" s="23"/>
      <c r="J135" s="23"/>
      <c r="K135" s="23"/>
      <c r="L135" s="13"/>
      <c r="M135" s="19"/>
    </row>
    <row r="136" spans="2:13" ht="15">
      <c r="B136" s="639"/>
      <c r="C136" s="20"/>
      <c r="D136" s="13"/>
      <c r="E136" s="23"/>
      <c r="F136" s="32"/>
      <c r="G136" s="23"/>
      <c r="H136" s="85"/>
      <c r="I136" s="23"/>
      <c r="J136" s="23"/>
      <c r="K136" s="23"/>
      <c r="L136" s="13"/>
      <c r="M136" s="19"/>
    </row>
    <row r="137" spans="2:14" ht="15">
      <c r="B137" s="639"/>
      <c r="C137" s="13"/>
      <c r="D137" s="20" t="s">
        <v>562</v>
      </c>
      <c r="E137" s="20" t="s">
        <v>563</v>
      </c>
      <c r="F137" s="20"/>
      <c r="G137" s="20" t="s">
        <v>564</v>
      </c>
      <c r="H137" s="29"/>
      <c r="I137" s="1169" t="s">
        <v>565</v>
      </c>
      <c r="J137" s="1170"/>
      <c r="K137" s="19"/>
      <c r="L137" s="21" t="s">
        <v>566</v>
      </c>
      <c r="M137" s="19"/>
      <c r="N137" s="2"/>
    </row>
    <row r="138" spans="2:15" ht="15">
      <c r="B138" s="639"/>
      <c r="C138" s="13"/>
      <c r="D138" s="20"/>
      <c r="E138" s="20"/>
      <c r="F138" s="20"/>
      <c r="G138" s="20"/>
      <c r="H138" s="29"/>
      <c r="I138" s="19"/>
      <c r="J138" s="34"/>
      <c r="K138" s="19"/>
      <c r="L138" s="13"/>
      <c r="M138" s="19"/>
      <c r="N138" s="4"/>
      <c r="O138" s="54"/>
    </row>
    <row r="139" spans="2:15" ht="15">
      <c r="B139" s="639"/>
      <c r="C139" s="20"/>
      <c r="D139" s="38" t="s">
        <v>541</v>
      </c>
      <c r="E139" s="35" t="str">
        <f>E55</f>
        <v>Data Sources</v>
      </c>
      <c r="F139" s="37"/>
      <c r="G139" s="19"/>
      <c r="H139" s="29"/>
      <c r="I139" s="19"/>
      <c r="J139" s="20"/>
      <c r="K139" s="19"/>
      <c r="L139" s="35" t="str">
        <f>L55</f>
        <v>Total</v>
      </c>
      <c r="M139" s="13"/>
      <c r="N139" s="4"/>
      <c r="O139" s="54"/>
    </row>
    <row r="140" spans="2:15" ht="15">
      <c r="B140" s="639"/>
      <c r="C140" s="25"/>
      <c r="D140" s="55" t="s">
        <v>542</v>
      </c>
      <c r="E140" s="121" t="str">
        <f>E56</f>
        <v>(See "General Notes")</v>
      </c>
      <c r="F140" s="19"/>
      <c r="G140" s="121" t="str">
        <f>G56</f>
        <v>TO Total</v>
      </c>
      <c r="H140" s="291"/>
      <c r="I140" s="1180" t="str">
        <f>I56</f>
        <v>Allocator</v>
      </c>
      <c r="J140" s="1181"/>
      <c r="K140" s="39"/>
      <c r="L140" s="121" t="str">
        <f>L56</f>
        <v>Transmission</v>
      </c>
      <c r="M140" s="19"/>
      <c r="N140" s="4"/>
      <c r="O140" s="54"/>
    </row>
    <row r="141" spans="2:13" ht="15">
      <c r="B141" s="92" t="str">
        <f>B57</f>
        <v>Line</v>
      </c>
      <c r="C141" s="13"/>
      <c r="D141" s="17"/>
      <c r="E141" s="19"/>
      <c r="F141" s="19"/>
      <c r="G141" s="55"/>
      <c r="H141" s="282"/>
      <c r="I141" s="38"/>
      <c r="J141" s="13"/>
      <c r="K141" s="56"/>
      <c r="L141" s="55"/>
      <c r="M141" s="19"/>
    </row>
    <row r="142" spans="2:13" ht="15">
      <c r="B142" s="92" t="str">
        <f>B58</f>
        <v>No.</v>
      </c>
      <c r="C142" s="20"/>
      <c r="D142" s="17" t="s">
        <v>543</v>
      </c>
      <c r="E142" s="19"/>
      <c r="F142" s="19"/>
      <c r="G142" s="19"/>
      <c r="H142" s="29"/>
      <c r="I142" s="32"/>
      <c r="J142" s="19"/>
      <c r="K142" s="19"/>
      <c r="L142" s="19"/>
      <c r="M142" s="19"/>
    </row>
    <row r="143" spans="2:13" ht="15">
      <c r="B143" s="92">
        <f>+B128+1</f>
        <v>256</v>
      </c>
      <c r="C143" s="20"/>
      <c r="D143" s="1019" t="s">
        <v>877</v>
      </c>
      <c r="E143" s="29"/>
      <c r="F143" s="29"/>
      <c r="G143" s="122"/>
      <c r="H143" s="122"/>
      <c r="I143" s="49"/>
      <c r="J143" s="50"/>
      <c r="K143" s="29"/>
      <c r="L143" s="122"/>
      <c r="M143" s="19"/>
    </row>
    <row r="144" spans="2:13" ht="15">
      <c r="B144" s="92">
        <f>+B143+1</f>
        <v>257</v>
      </c>
      <c r="C144" s="20"/>
      <c r="D144" s="1019" t="s">
        <v>877</v>
      </c>
      <c r="E144" s="29"/>
      <c r="F144" s="29"/>
      <c r="G144" s="122"/>
      <c r="H144" s="122"/>
      <c r="I144" s="49"/>
      <c r="J144" s="50"/>
      <c r="K144" s="29"/>
      <c r="L144" s="122"/>
      <c r="M144" s="19"/>
    </row>
    <row r="145" spans="2:13" ht="15">
      <c r="B145" s="92">
        <f aca="true" t="shared" si="9" ref="B145:B150">+B144+1</f>
        <v>258</v>
      </c>
      <c r="C145" s="20"/>
      <c r="D145" s="57" t="s">
        <v>842</v>
      </c>
      <c r="E145" s="19" t="s">
        <v>665</v>
      </c>
      <c r="F145" s="29"/>
      <c r="G145" s="1089">
        <f>0+0+0</f>
        <v>0</v>
      </c>
      <c r="H145" s="29"/>
      <c r="I145" s="49"/>
      <c r="J145" s="50"/>
      <c r="K145" s="29"/>
      <c r="L145" s="122"/>
      <c r="M145" s="19"/>
    </row>
    <row r="146" spans="2:13" ht="15">
      <c r="B146" s="92">
        <f t="shared" si="9"/>
        <v>259</v>
      </c>
      <c r="C146" s="20"/>
      <c r="D146" s="57" t="s">
        <v>855</v>
      </c>
      <c r="E146" s="19" t="s">
        <v>71</v>
      </c>
      <c r="F146" s="29"/>
      <c r="G146" s="1089">
        <v>0</v>
      </c>
      <c r="H146" s="29"/>
      <c r="I146" s="49"/>
      <c r="J146" s="50"/>
      <c r="K146" s="29"/>
      <c r="L146" s="122"/>
      <c r="M146" s="19"/>
    </row>
    <row r="147" spans="2:15" ht="93.75" thickBot="1">
      <c r="B147" s="92">
        <f t="shared" si="9"/>
        <v>260</v>
      </c>
      <c r="C147" s="20"/>
      <c r="D147" s="57" t="s">
        <v>574</v>
      </c>
      <c r="E147" s="19" t="s">
        <v>69</v>
      </c>
      <c r="F147" s="29"/>
      <c r="G147" s="1090">
        <v>15225</v>
      </c>
      <c r="H147" s="1059" t="s">
        <v>884</v>
      </c>
      <c r="I147" s="707"/>
      <c r="J147" s="707"/>
      <c r="K147"/>
      <c r="L147"/>
      <c r="M147" s="18"/>
      <c r="N147" s="3"/>
      <c r="O147" s="3"/>
    </row>
    <row r="148" spans="2:15" ht="15">
      <c r="B148" s="92">
        <f t="shared" si="9"/>
        <v>261</v>
      </c>
      <c r="C148" s="20"/>
      <c r="D148" s="57" t="s">
        <v>856</v>
      </c>
      <c r="E148" s="29" t="str">
        <f>"(sum lns "&amp;B145&amp;"  to "&amp;B147&amp;")"</f>
        <v>(sum lns 258  to 260)</v>
      </c>
      <c r="F148" s="29"/>
      <c r="G148" s="122">
        <f>SUM(G143:G147)</f>
        <v>15225</v>
      </c>
      <c r="H148" s="122"/>
      <c r="I148" s="707"/>
      <c r="J148" s="707"/>
      <c r="K148"/>
      <c r="L148"/>
      <c r="M148" s="18"/>
      <c r="N148" s="3"/>
      <c r="O148" s="3"/>
    </row>
    <row r="149" spans="2:15" ht="15">
      <c r="B149" s="92">
        <f t="shared" si="9"/>
        <v>262</v>
      </c>
      <c r="C149" s="20"/>
      <c r="D149" s="57" t="s">
        <v>952</v>
      </c>
      <c r="E149" s="29" t="str">
        <f>"(Note G) (Worksheet F, ln "&amp;'WS F Misc Exp'!A31&amp;".C)"</f>
        <v>(Note G) (Worksheet F, ln 14.C)</v>
      </c>
      <c r="F149" s="29"/>
      <c r="G149" s="122">
        <f>+'WS F Misc Exp'!D31</f>
        <v>238</v>
      </c>
      <c r="H149" s="122"/>
      <c r="I149" s="707"/>
      <c r="J149" s="707"/>
      <c r="K149"/>
      <c r="L149"/>
      <c r="M149" s="18"/>
      <c r="N149" s="3"/>
      <c r="O149" s="3"/>
    </row>
    <row r="150" spans="2:15" ht="15">
      <c r="B150" s="92">
        <f t="shared" si="9"/>
        <v>263</v>
      </c>
      <c r="C150" s="20"/>
      <c r="D150" s="57" t="s">
        <v>495</v>
      </c>
      <c r="E150" s="29" t="s">
        <v>540</v>
      </c>
      <c r="F150" s="29"/>
      <c r="G150" s="1089">
        <v>0</v>
      </c>
      <c r="H150" s="122"/>
      <c r="I150" s="707"/>
      <c r="J150" s="707"/>
      <c r="K150"/>
      <c r="L150"/>
      <c r="M150" s="18"/>
      <c r="N150" s="3"/>
      <c r="O150" s="3"/>
    </row>
    <row r="151" spans="2:15" ht="15" thickBot="1">
      <c r="B151" s="92">
        <f>+B150+1</f>
        <v>264</v>
      </c>
      <c r="C151" s="80"/>
      <c r="D151" s="57" t="s">
        <v>956</v>
      </c>
      <c r="E151" s="29" t="s">
        <v>259</v>
      </c>
      <c r="F151" s="29"/>
      <c r="G151" s="123">
        <f>+'WS F Misc Exp'!D19</f>
        <v>0</v>
      </c>
      <c r="H151" s="122"/>
      <c r="I151" s="255"/>
      <c r="J151" s="255"/>
      <c r="K151"/>
      <c r="L151"/>
      <c r="M151" s="18"/>
      <c r="N151" s="3"/>
      <c r="O151" s="3"/>
    </row>
    <row r="152" spans="2:15" ht="15">
      <c r="B152" s="92">
        <f>+B151+1</f>
        <v>265</v>
      </c>
      <c r="C152" s="20"/>
      <c r="D152" s="57" t="s">
        <v>62</v>
      </c>
      <c r="E152" s="19" t="str">
        <f>"(lns "&amp;B147&amp;" - "&amp;B149&amp;" - "&amp;B150&amp;" - "&amp;B151&amp;")"</f>
        <v>(lns 260 - 262 - 263 - 264)</v>
      </c>
      <c r="F152" s="57"/>
      <c r="G152" s="122">
        <f>G147-G149-G150-G151</f>
        <v>14987</v>
      </c>
      <c r="H152" s="29"/>
      <c r="I152" s="32" t="s">
        <v>561</v>
      </c>
      <c r="J152" s="50">
        <f>VLOOKUP(I152,APCo_Hist_Allocators,2,FALSE)</f>
        <v>1</v>
      </c>
      <c r="K152" s="29"/>
      <c r="L152" s="122">
        <f>+J152*G152</f>
        <v>14987</v>
      </c>
      <c r="M152" s="26"/>
      <c r="N152" s="3"/>
      <c r="O152" s="3"/>
    </row>
    <row r="153" spans="2:15" ht="15">
      <c r="B153" s="92"/>
      <c r="C153" s="20"/>
      <c r="D153" s="57"/>
      <c r="E153" s="29"/>
      <c r="F153" s="29"/>
      <c r="G153" s="710"/>
      <c r="H153" s="122"/>
      <c r="I153" s="707"/>
      <c r="J153" s="707"/>
      <c r="K153"/>
      <c r="L153"/>
      <c r="M153" s="18"/>
      <c r="N153" s="3"/>
      <c r="O153" s="3"/>
    </row>
    <row r="154" spans="2:15" ht="93">
      <c r="B154" s="92">
        <f>+B152+1</f>
        <v>266</v>
      </c>
      <c r="C154" s="20"/>
      <c r="D154" s="17" t="s">
        <v>544</v>
      </c>
      <c r="E154" s="19" t="s">
        <v>260</v>
      </c>
      <c r="F154" s="19"/>
      <c r="G154" s="1089">
        <v>169555</v>
      </c>
      <c r="H154" s="1059" t="s">
        <v>884</v>
      </c>
      <c r="I154" s="43"/>
      <c r="J154" s="43"/>
      <c r="K154" s="19"/>
      <c r="L154" s="107"/>
      <c r="M154" s="19"/>
      <c r="N154" s="3"/>
      <c r="O154" s="3"/>
    </row>
    <row r="155" spans="2:15" ht="15">
      <c r="B155" s="92">
        <f aca="true" t="shared" si="10" ref="B155:B161">+B154+1</f>
        <v>267</v>
      </c>
      <c r="C155" s="20"/>
      <c r="D155" s="57" t="s">
        <v>954</v>
      </c>
      <c r="E155" s="19" t="s">
        <v>72</v>
      </c>
      <c r="F155" s="19"/>
      <c r="G155" s="1089">
        <v>5</v>
      </c>
      <c r="H155" s="122"/>
      <c r="I155" s="43"/>
      <c r="J155" s="17"/>
      <c r="K155" s="19"/>
      <c r="L155" s="107"/>
      <c r="M155"/>
      <c r="N155" s="3"/>
      <c r="O155" s="3"/>
    </row>
    <row r="156" spans="2:15" ht="15">
      <c r="B156" s="92">
        <f t="shared" si="10"/>
        <v>268</v>
      </c>
      <c r="C156" s="20"/>
      <c r="D156" s="17" t="s">
        <v>953</v>
      </c>
      <c r="E156" s="19" t="s">
        <v>534</v>
      </c>
      <c r="F156" s="29"/>
      <c r="G156" s="1089">
        <v>0</v>
      </c>
      <c r="H156" s="122"/>
      <c r="I156" s="43"/>
      <c r="J156" s="253"/>
      <c r="K156" s="19"/>
      <c r="L156" s="107"/>
      <c r="M156" s="19"/>
      <c r="N156" s="3"/>
      <c r="O156" s="3"/>
    </row>
    <row r="157" spans="2:15" ht="15">
      <c r="B157" s="92">
        <f t="shared" si="10"/>
        <v>269</v>
      </c>
      <c r="C157" s="20"/>
      <c r="D157" s="57" t="s">
        <v>548</v>
      </c>
      <c r="E157" s="19" t="s">
        <v>535</v>
      </c>
      <c r="F157" s="29"/>
      <c r="G157" s="1089">
        <v>0</v>
      </c>
      <c r="H157" s="122"/>
      <c r="I157" s="43"/>
      <c r="J157" s="43"/>
      <c r="K157" s="19"/>
      <c r="L157" s="107"/>
      <c r="M157" s="19"/>
      <c r="N157" s="3"/>
      <c r="O157" s="3"/>
    </row>
    <row r="158" spans="2:15" ht="15" thickBot="1">
      <c r="B158" s="92">
        <f t="shared" si="10"/>
        <v>270</v>
      </c>
      <c r="C158" s="20"/>
      <c r="D158" s="57" t="s">
        <v>955</v>
      </c>
      <c r="E158" s="19" t="s">
        <v>536</v>
      </c>
      <c r="F158" s="29"/>
      <c r="G158" s="1090">
        <v>0</v>
      </c>
      <c r="H158" s="122"/>
      <c r="I158" s="43"/>
      <c r="J158" s="43"/>
      <c r="K158" s="19"/>
      <c r="L158" s="107"/>
      <c r="M158" s="19"/>
      <c r="N158" s="3"/>
      <c r="O158" s="3"/>
    </row>
    <row r="159" spans="2:15" ht="15">
      <c r="B159" s="92">
        <f>+B158+1</f>
        <v>271</v>
      </c>
      <c r="C159" s="20"/>
      <c r="D159" s="17" t="s">
        <v>549</v>
      </c>
      <c r="E159" s="29" t="str">
        <f>"(ln "&amp;B154&amp;" - sum ln "&amp;B155&amp;"  to ln "&amp;B158&amp;")"</f>
        <v>(ln 266 - sum ln 267  to ln 270)</v>
      </c>
      <c r="F159" s="29"/>
      <c r="G159" s="122">
        <f>G154-SUM(G155:G158)</f>
        <v>169550</v>
      </c>
      <c r="H159" s="122"/>
      <c r="I159" s="32" t="s">
        <v>571</v>
      </c>
      <c r="J159" s="50">
        <f aca="true" t="shared" si="11" ref="J159:J164">VLOOKUP(I159,APCo_Hist_Allocators,2,FALSE)</f>
        <v>0.9987295825771325</v>
      </c>
      <c r="K159" s="19"/>
      <c r="L159" s="107">
        <f>+J159*G159</f>
        <v>169334.60072595283</v>
      </c>
      <c r="M159" s="19"/>
      <c r="N159" s="3"/>
      <c r="O159" s="3"/>
    </row>
    <row r="160" spans="2:15" ht="15">
      <c r="B160" s="92">
        <f t="shared" si="10"/>
        <v>272</v>
      </c>
      <c r="C160" s="80"/>
      <c r="D160" s="57" t="s">
        <v>657</v>
      </c>
      <c r="E160" s="29" t="str">
        <f>"(ln "&amp;B155&amp;")"</f>
        <v>(ln 267)</v>
      </c>
      <c r="F160" s="29"/>
      <c r="G160" s="122">
        <f>+G155</f>
        <v>5</v>
      </c>
      <c r="H160" s="122"/>
      <c r="I160" s="210" t="s">
        <v>960</v>
      </c>
      <c r="J160" s="50">
        <f t="shared" si="11"/>
        <v>0</v>
      </c>
      <c r="K160" s="29"/>
      <c r="L160" s="122">
        <f>+J160*G160</f>
        <v>0</v>
      </c>
      <c r="M160" s="19"/>
      <c r="N160" s="3"/>
      <c r="O160" s="3"/>
    </row>
    <row r="161" spans="2:15" ht="15">
      <c r="B161" s="92">
        <f t="shared" si="10"/>
        <v>273</v>
      </c>
      <c r="C161" s="20"/>
      <c r="D161" s="57" t="s">
        <v>761</v>
      </c>
      <c r="E161" s="29" t="str">
        <f>"Worksheet F ln "&amp;'WS F Misc Exp'!A41&amp;".(E) (Note L)"</f>
        <v>Worksheet F ln 20.(E) (Note L)</v>
      </c>
      <c r="F161" s="29"/>
      <c r="G161" s="122">
        <f>+'WS F Misc Exp'!F41</f>
        <v>0</v>
      </c>
      <c r="H161" s="122"/>
      <c r="I161" s="32" t="s">
        <v>561</v>
      </c>
      <c r="J161" s="50">
        <f>VLOOKUP(I161,APCo_Proj_Allocators,2,FALSE)</f>
        <v>1</v>
      </c>
      <c r="K161" s="19"/>
      <c r="L161" s="107">
        <f>J161*G161</f>
        <v>0</v>
      </c>
      <c r="M161" s="19"/>
      <c r="N161" s="3"/>
      <c r="O161" s="3"/>
    </row>
    <row r="162" spans="2:15" ht="15">
      <c r="B162" s="92">
        <f>B161+1</f>
        <v>274</v>
      </c>
      <c r="C162" s="20"/>
      <c r="D162" s="57" t="s">
        <v>833</v>
      </c>
      <c r="E162" s="29" t="str">
        <f>"Worksheet F ln "&amp;'WS F Misc Exp'!A61&amp;".(E) (Note L)"</f>
        <v>Worksheet F ln 37.(E) (Note L)</v>
      </c>
      <c r="F162" s="29"/>
      <c r="G162" s="129">
        <f>+'WS F Misc Exp'!F61</f>
        <v>0</v>
      </c>
      <c r="H162" s="29"/>
      <c r="I162" s="49" t="s">
        <v>561</v>
      </c>
      <c r="J162" s="50">
        <f>VLOOKUP(I162,APCo_Proj_Allocators,2,FALSE)</f>
        <v>1</v>
      </c>
      <c r="K162" s="19"/>
      <c r="L162" s="107">
        <f>+J162*G162</f>
        <v>0</v>
      </c>
      <c r="M162" s="19"/>
      <c r="N162" s="3"/>
      <c r="O162" s="3"/>
    </row>
    <row r="163" spans="2:15" ht="15">
      <c r="B163" s="92">
        <f>+B162+1</f>
        <v>275</v>
      </c>
      <c r="C163" s="20"/>
      <c r="D163" s="57" t="s">
        <v>836</v>
      </c>
      <c r="E163" s="29" t="str">
        <f>"Worksheet F ln "&amp;'WS F Misc Exp'!A69&amp;".(E) (Note L)"</f>
        <v>Worksheet F ln 42.(E) (Note L)</v>
      </c>
      <c r="F163" s="29"/>
      <c r="G163" s="129">
        <f>+'WS F Misc Exp'!F69</f>
        <v>0</v>
      </c>
      <c r="H163" s="698"/>
      <c r="I163" s="49" t="s">
        <v>569</v>
      </c>
      <c r="J163" s="50">
        <f>VLOOKUP(I163,APCo_Proj_Allocators,2,FALSE)</f>
        <v>1</v>
      </c>
      <c r="K163" s="19"/>
      <c r="L163" s="144">
        <f>+J163*G163</f>
        <v>0</v>
      </c>
      <c r="M163" s="19"/>
      <c r="N163" s="3"/>
      <c r="O163" s="3"/>
    </row>
    <row r="164" spans="2:15" ht="15" thickBot="1">
      <c r="B164" s="92">
        <f>+B163+1</f>
        <v>276</v>
      </c>
      <c r="C164" s="20"/>
      <c r="D164" s="57" t="s">
        <v>98</v>
      </c>
      <c r="E164" s="29" t="str">
        <f>"Worksheet O Ln "&amp;'Worksheet O'!A31&amp;" (B),  (Note K &amp; M)"</f>
        <v>Worksheet O Ln 16 (B),  (Note K &amp; M)</v>
      </c>
      <c r="F164" s="29"/>
      <c r="G164" s="123">
        <f>'Worksheet O'!D31</f>
        <v>-587.5302000000001</v>
      </c>
      <c r="H164" s="29"/>
      <c r="I164" s="49" t="s">
        <v>571</v>
      </c>
      <c r="J164" s="50">
        <f t="shared" si="11"/>
        <v>0.9987295825771325</v>
      </c>
      <c r="K164" s="29"/>
      <c r="L164" s="123">
        <f>+G164*J164</f>
        <v>-586.7837913974594</v>
      </c>
      <c r="M164" s="29"/>
      <c r="N164" s="3"/>
      <c r="O164" s="3"/>
    </row>
    <row r="165" spans="2:15" ht="15">
      <c r="B165" s="92">
        <f>+B164+1</f>
        <v>277</v>
      </c>
      <c r="C165" s="20"/>
      <c r="D165" s="17" t="s">
        <v>550</v>
      </c>
      <c r="E165" s="29" t="str">
        <f>"(sum lns "&amp;B159&amp;"  to "&amp;B164&amp;")"</f>
        <v>(sum lns 271  to 276)</v>
      </c>
      <c r="F165" s="29"/>
      <c r="G165" s="107">
        <f>SUM(G159:G164)</f>
        <v>168967.4698</v>
      </c>
      <c r="H165" s="122"/>
      <c r="I165" s="32"/>
      <c r="J165" s="43"/>
      <c r="K165" s="19"/>
      <c r="L165" s="107">
        <f>SUM(L159:L164)</f>
        <v>168747.81693455536</v>
      </c>
      <c r="M165" s="19"/>
      <c r="N165" s="107"/>
      <c r="O165" s="3"/>
    </row>
    <row r="166" spans="2:15" ht="15" thickBot="1">
      <c r="B166" s="92"/>
      <c r="C166" s="20"/>
      <c r="D166" s="57"/>
      <c r="E166" s="29"/>
      <c r="F166" s="29"/>
      <c r="G166" s="123"/>
      <c r="H166" s="29"/>
      <c r="I166" s="32"/>
      <c r="J166" s="43"/>
      <c r="K166" s="19"/>
      <c r="L166" s="108"/>
      <c r="M166" s="19"/>
      <c r="N166" s="3"/>
      <c r="O166" s="3"/>
    </row>
    <row r="167" spans="2:15" ht="15">
      <c r="B167" s="92">
        <f>+B165+1</f>
        <v>278</v>
      </c>
      <c r="C167" s="80"/>
      <c r="D167" s="57" t="s">
        <v>66</v>
      </c>
      <c r="E167" s="29" t="str">
        <f>"(ln "&amp;B152&amp;" + ln "&amp;B165&amp;")"</f>
        <v>(ln 265 + ln 277)</v>
      </c>
      <c r="F167" s="29"/>
      <c r="G167" s="122">
        <f>+G152+G165</f>
        <v>183954.4698</v>
      </c>
      <c r="H167" s="122"/>
      <c r="I167" s="49"/>
      <c r="J167" s="29"/>
      <c r="K167" s="29"/>
      <c r="L167" s="122">
        <f>L152+L165</f>
        <v>183734.81693455536</v>
      </c>
      <c r="M167" s="19"/>
      <c r="N167" s="3"/>
      <c r="O167" s="3"/>
    </row>
    <row r="168" spans="2:15" ht="15">
      <c r="B168" s="92">
        <f>+B167+1</f>
        <v>279</v>
      </c>
      <c r="C168" s="80"/>
      <c r="D168" s="57" t="s">
        <v>245</v>
      </c>
      <c r="E168" s="29" t="s">
        <v>264</v>
      </c>
      <c r="F168" s="29"/>
      <c r="G168" s="1089">
        <v>0</v>
      </c>
      <c r="H168" s="122"/>
      <c r="I168" s="32" t="s">
        <v>569</v>
      </c>
      <c r="J168" s="50">
        <f>VLOOKUP(I168,APCo_Hist_Allocators,2,FALSE)</f>
        <v>1</v>
      </c>
      <c r="K168" s="29"/>
      <c r="L168" s="107">
        <f>J168*G168</f>
        <v>0</v>
      </c>
      <c r="M168" s="19"/>
      <c r="N168" s="3"/>
      <c r="O168" s="3"/>
    </row>
    <row r="169" spans="2:15" ht="15" thickBot="1">
      <c r="B169" s="92">
        <f>+B168+1</f>
        <v>280</v>
      </c>
      <c r="C169" s="80"/>
      <c r="D169" s="57" t="s">
        <v>265</v>
      </c>
      <c r="E169" s="57"/>
      <c r="F169" s="29"/>
      <c r="G169" s="1090">
        <v>0</v>
      </c>
      <c r="H169" s="122"/>
      <c r="I169" s="32" t="s">
        <v>569</v>
      </c>
      <c r="J169" s="50">
        <f>VLOOKUP(I169,APCo_Hist_Allocators,2,FALSE)</f>
        <v>1</v>
      </c>
      <c r="K169" s="29"/>
      <c r="L169" s="108">
        <f>J169*G169</f>
        <v>0</v>
      </c>
      <c r="M169" s="19"/>
      <c r="N169" s="3"/>
      <c r="O169" s="3"/>
    </row>
    <row r="170" spans="2:15" ht="15">
      <c r="B170" s="92">
        <f>+B169+1</f>
        <v>281</v>
      </c>
      <c r="C170" s="20"/>
      <c r="D170" s="57" t="s">
        <v>551</v>
      </c>
      <c r="E170" s="29" t="str">
        <f>"(ln "&amp;B167&amp;" + ln "&amp;B168&amp;" + ln "&amp;B169&amp;")"</f>
        <v>(ln 278 + ln 279 + ln 280)</v>
      </c>
      <c r="F170" s="29"/>
      <c r="G170" s="122">
        <f>+G167+G168+G169</f>
        <v>183954.4698</v>
      </c>
      <c r="H170" s="122"/>
      <c r="I170" s="49"/>
      <c r="J170" s="29"/>
      <c r="K170" s="29"/>
      <c r="L170" s="122">
        <f>+L167+L168+L169</f>
        <v>183734.81693455536</v>
      </c>
      <c r="M170" s="19"/>
      <c r="N170" s="3"/>
      <c r="O170" s="3"/>
    </row>
    <row r="171" spans="2:15" ht="15">
      <c r="B171" s="92"/>
      <c r="C171" s="20"/>
      <c r="D171" s="57"/>
      <c r="E171" s="19"/>
      <c r="F171" s="19"/>
      <c r="G171" s="107"/>
      <c r="H171" s="29"/>
      <c r="I171" s="19"/>
      <c r="J171" s="19"/>
      <c r="K171" s="19"/>
      <c r="L171" s="107"/>
      <c r="M171" s="19"/>
      <c r="N171" s="3"/>
      <c r="O171" s="3"/>
    </row>
    <row r="172" spans="2:15" ht="15">
      <c r="B172" s="92">
        <f>+B170+1</f>
        <v>282</v>
      </c>
      <c r="C172" s="20"/>
      <c r="D172" s="42" t="s">
        <v>554</v>
      </c>
      <c r="E172" s="49"/>
      <c r="F172" s="49"/>
      <c r="G172" s="107"/>
      <c r="H172" s="29"/>
      <c r="I172" s="32"/>
      <c r="J172" s="19"/>
      <c r="K172" s="19"/>
      <c r="L172" s="107"/>
      <c r="M172" s="19"/>
      <c r="N172" s="3"/>
      <c r="O172" s="3"/>
    </row>
    <row r="173" spans="2:15" ht="15">
      <c r="B173" s="92">
        <f aca="true" t="shared" si="12" ref="B173:B180">+B172+1</f>
        <v>283</v>
      </c>
      <c r="C173" s="20"/>
      <c r="D173" s="1019" t="s">
        <v>877</v>
      </c>
      <c r="E173" s="29"/>
      <c r="F173" s="29"/>
      <c r="G173" s="122"/>
      <c r="H173" s="122"/>
      <c r="I173" s="49"/>
      <c r="J173" s="50"/>
      <c r="K173" s="29"/>
      <c r="L173" s="122"/>
      <c r="M173" s="19"/>
      <c r="N173" s="3"/>
      <c r="O173" s="3"/>
    </row>
    <row r="174" spans="2:15" ht="15">
      <c r="B174" s="92">
        <f t="shared" si="12"/>
        <v>284</v>
      </c>
      <c r="C174" s="20"/>
      <c r="D174" s="1019" t="s">
        <v>877</v>
      </c>
      <c r="E174" s="29"/>
      <c r="F174" s="29"/>
      <c r="G174" s="122"/>
      <c r="H174" s="122"/>
      <c r="I174" s="49"/>
      <c r="J174" s="50"/>
      <c r="K174" s="29"/>
      <c r="L174" s="122"/>
      <c r="M174" s="19"/>
      <c r="N174" s="3"/>
      <c r="O174" s="3"/>
    </row>
    <row r="175" spans="2:15" ht="15">
      <c r="B175" s="92">
        <f t="shared" si="12"/>
        <v>285</v>
      </c>
      <c r="C175" s="20"/>
      <c r="D175" s="45" t="str">
        <f>+D147</f>
        <v>  Transmission </v>
      </c>
      <c r="E175" s="308" t="s">
        <v>73</v>
      </c>
      <c r="F175" s="58"/>
      <c r="G175" s="1091">
        <v>0</v>
      </c>
      <c r="H175" s="692"/>
      <c r="I175" s="699" t="s">
        <v>498</v>
      </c>
      <c r="J175" s="50">
        <f>VLOOKUP(I175,APCo_Hist_Allocators,2,FALSE)</f>
        <v>1</v>
      </c>
      <c r="K175" s="47"/>
      <c r="L175" s="120">
        <f>J175*G175</f>
        <v>0</v>
      </c>
      <c r="M175" s="47"/>
      <c r="N175" s="3"/>
      <c r="O175" s="3"/>
    </row>
    <row r="176" spans="2:15" ht="15">
      <c r="B176" s="92">
        <f t="shared" si="12"/>
        <v>286</v>
      </c>
      <c r="C176" s="20"/>
      <c r="D176" s="466" t="s">
        <v>241</v>
      </c>
      <c r="E176" s="46"/>
      <c r="F176" s="46"/>
      <c r="G176" s="477" t="s">
        <v>3</v>
      </c>
      <c r="H176" s="107"/>
      <c r="I176" s="32"/>
      <c r="J176" s="43"/>
      <c r="K176" s="19"/>
      <c r="L176" s="477" t="s">
        <v>3</v>
      </c>
      <c r="M176" s="47"/>
      <c r="N176" s="3"/>
      <c r="O176" s="3"/>
    </row>
    <row r="177" spans="2:15" ht="15">
      <c r="B177" s="92">
        <f t="shared" si="12"/>
        <v>287</v>
      </c>
      <c r="C177" s="20"/>
      <c r="D177" s="466" t="s">
        <v>791</v>
      </c>
      <c r="E177" s="29" t="str">
        <f>"(Worksheet A ln "&amp;'WS A  - RB Support '!A89&amp;".C)"</f>
        <v>(Worksheet A ln 35.C)</v>
      </c>
      <c r="F177" s="46"/>
      <c r="G177" s="285">
        <f>'WS A  - RB Support '!E89</f>
        <v>13401</v>
      </c>
      <c r="H177" s="107"/>
      <c r="I177" s="699" t="s">
        <v>498</v>
      </c>
      <c r="J177" s="50">
        <f>VLOOKUP(I177,APCo_Hist_Allocators,2,FALSE)</f>
        <v>1</v>
      </c>
      <c r="K177" s="19"/>
      <c r="L177" s="122">
        <f>G177</f>
        <v>13401</v>
      </c>
      <c r="M177" s="47"/>
      <c r="N177" s="3"/>
      <c r="O177" s="3"/>
    </row>
    <row r="178" spans="2:15" ht="15">
      <c r="B178" s="92">
        <f t="shared" si="12"/>
        <v>288</v>
      </c>
      <c r="C178" s="20"/>
      <c r="D178" s="42" t="s">
        <v>575</v>
      </c>
      <c r="E178" s="58" t="s">
        <v>74</v>
      </c>
      <c r="F178" s="19"/>
      <c r="G178" s="1089">
        <v>0</v>
      </c>
      <c r="H178" s="122"/>
      <c r="I178" s="32" t="s">
        <v>571</v>
      </c>
      <c r="J178" s="50">
        <f>VLOOKUP(I178,APCo_Hist_Allocators,2,FALSE)</f>
        <v>0.9987295825771325</v>
      </c>
      <c r="K178" s="19"/>
      <c r="L178" s="107">
        <f>+J178*G178</f>
        <v>0</v>
      </c>
      <c r="M178" s="19"/>
      <c r="N178" s="8"/>
      <c r="O178" s="3"/>
    </row>
    <row r="179" spans="2:15" ht="15" thickBot="1">
      <c r="B179" s="92">
        <f t="shared" si="12"/>
        <v>289</v>
      </c>
      <c r="C179" s="20"/>
      <c r="D179" s="42" t="s">
        <v>576</v>
      </c>
      <c r="E179" s="46" t="s">
        <v>75</v>
      </c>
      <c r="F179" s="29"/>
      <c r="G179" s="1090">
        <v>0</v>
      </c>
      <c r="H179" s="122"/>
      <c r="I179" s="32" t="s">
        <v>571</v>
      </c>
      <c r="J179" s="50">
        <f>VLOOKUP(I179,APCo_Hist_Allocators,2,FALSE)</f>
        <v>0.9987295825771325</v>
      </c>
      <c r="K179" s="19"/>
      <c r="L179" s="108">
        <f>+J179*G179</f>
        <v>0</v>
      </c>
      <c r="M179" s="19"/>
      <c r="N179" s="8"/>
      <c r="O179" s="3"/>
    </row>
    <row r="180" spans="2:15" ht="15" customHeight="1">
      <c r="B180" s="92">
        <f t="shared" si="12"/>
        <v>290</v>
      </c>
      <c r="C180" s="20"/>
      <c r="D180" s="42" t="s">
        <v>924</v>
      </c>
      <c r="E180" s="1018" t="str">
        <f>"(Ln "&amp;B175&amp;"+"&amp;B176&amp;"+"&amp;B178&amp;"+"&amp;B179&amp;")"</f>
        <v>(Ln 285+286+288+289)</v>
      </c>
      <c r="F180" s="19"/>
      <c r="G180" s="122">
        <f>+G173+G174+G175+G177+G178+G179</f>
        <v>13401</v>
      </c>
      <c r="H180" s="29"/>
      <c r="I180" s="32"/>
      <c r="J180" s="19"/>
      <c r="K180" s="19"/>
      <c r="L180" s="122">
        <f>+L173+L174+L175+L177+L178+L179</f>
        <v>13401</v>
      </c>
      <c r="M180" s="19"/>
      <c r="N180" s="3"/>
      <c r="O180" s="3"/>
    </row>
    <row r="181" spans="2:15" ht="15">
      <c r="B181" s="92"/>
      <c r="C181" s="20"/>
      <c r="D181" s="42"/>
      <c r="E181" s="1017"/>
      <c r="F181" s="19"/>
      <c r="G181" s="107"/>
      <c r="H181" s="29"/>
      <c r="I181" s="32"/>
      <c r="J181" s="19"/>
      <c r="K181" s="19"/>
      <c r="L181" s="107"/>
      <c r="M181" s="19"/>
      <c r="N181" s="3"/>
      <c r="O181" s="3"/>
    </row>
    <row r="182" spans="2:15" ht="15">
      <c r="B182" s="92">
        <f>+B180+1</f>
        <v>291</v>
      </c>
      <c r="C182" s="20"/>
      <c r="D182" s="42" t="s">
        <v>502</v>
      </c>
      <c r="E182" s="15" t="s">
        <v>76</v>
      </c>
      <c r="F182" s="13"/>
      <c r="G182" s="107"/>
      <c r="H182" s="29"/>
      <c r="I182" s="32"/>
      <c r="J182" s="19"/>
      <c r="K182" s="19"/>
      <c r="L182" s="107"/>
      <c r="M182" s="19"/>
      <c r="N182" s="603"/>
      <c r="O182" s="3"/>
    </row>
    <row r="183" spans="2:15" ht="15">
      <c r="B183" s="92">
        <f aca="true" t="shared" si="13" ref="B183:B188">+B182+1</f>
        <v>292</v>
      </c>
      <c r="C183" s="20"/>
      <c r="D183" s="42" t="s">
        <v>577</v>
      </c>
      <c r="E183" s="13"/>
      <c r="F183" s="13"/>
      <c r="G183" s="107"/>
      <c r="H183" s="29"/>
      <c r="I183" s="32"/>
      <c r="J183" s="13"/>
      <c r="K183" s="19"/>
      <c r="L183" s="107"/>
      <c r="M183" s="19"/>
      <c r="N183" s="3"/>
      <c r="O183" s="3"/>
    </row>
    <row r="184" spans="2:15" ht="15">
      <c r="B184" s="92">
        <f t="shared" si="13"/>
        <v>293</v>
      </c>
      <c r="C184" s="20"/>
      <c r="D184" s="42" t="s">
        <v>578</v>
      </c>
      <c r="E184" s="29" t="str">
        <f>"Worksheet H ln "&amp;'WS H-p1 Other Taxes'!A41&amp;"."&amp;'WS H-p1 Other Taxes'!I8&amp;""</f>
        <v>Worksheet H ln 23.(D)</v>
      </c>
      <c r="F184" s="19"/>
      <c r="G184" s="122">
        <f>+'WS H-p1 Other Taxes'!I41</f>
        <v>0</v>
      </c>
      <c r="H184" s="122"/>
      <c r="I184" s="32" t="s">
        <v>571</v>
      </c>
      <c r="J184" s="50">
        <f>VLOOKUP(I184,APCo_Hist_Allocators,2,FALSE)</f>
        <v>0.9987295825771325</v>
      </c>
      <c r="K184" s="19"/>
      <c r="L184" s="107">
        <f>+J184*G184</f>
        <v>0</v>
      </c>
      <c r="M184" s="52"/>
      <c r="N184" s="3"/>
      <c r="O184" s="3"/>
    </row>
    <row r="185" spans="2:15" ht="15">
      <c r="B185" s="92">
        <f t="shared" si="13"/>
        <v>294</v>
      </c>
      <c r="C185" s="20"/>
      <c r="D185" s="42" t="s">
        <v>579</v>
      </c>
      <c r="E185" s="29" t="s">
        <v>555</v>
      </c>
      <c r="F185" s="19"/>
      <c r="G185" s="122"/>
      <c r="H185" s="122"/>
      <c r="I185" s="32"/>
      <c r="J185" s="13"/>
      <c r="K185" s="19"/>
      <c r="L185" s="107"/>
      <c r="M185" s="29"/>
      <c r="N185" s="3"/>
      <c r="O185" s="3"/>
    </row>
    <row r="186" spans="2:15" ht="15">
      <c r="B186" s="92">
        <f t="shared" si="13"/>
        <v>295</v>
      </c>
      <c r="C186" s="80"/>
      <c r="D186" s="61" t="s">
        <v>580</v>
      </c>
      <c r="E186" s="29" t="str">
        <f>"Worksheet H ln "&amp;'WS H-p1 Other Taxes'!A41&amp;".(C) &amp; ln "&amp;'WS H-p1 Other Taxes'!A85&amp;"."&amp;'WS H-p1 Other Taxes'!G8&amp;""</f>
        <v>Worksheet H ln 23.(C) &amp; ln 58.(C)</v>
      </c>
      <c r="F186" s="29"/>
      <c r="G186" s="122">
        <f>+'WS H-p1 Other Taxes'!G41</f>
        <v>0</v>
      </c>
      <c r="H186" s="122"/>
      <c r="I186" s="49" t="s">
        <v>569</v>
      </c>
      <c r="J186" s="50"/>
      <c r="K186" s="29"/>
      <c r="L186" s="122">
        <f>+'WS H-p1 Other Taxes'!G85</f>
        <v>0</v>
      </c>
      <c r="M186" s="645"/>
      <c r="N186" s="603"/>
      <c r="O186" s="8"/>
    </row>
    <row r="187" spans="2:15" ht="15">
      <c r="B187" s="92">
        <f t="shared" si="13"/>
        <v>296</v>
      </c>
      <c r="C187" s="20"/>
      <c r="D187" s="42" t="s">
        <v>660</v>
      </c>
      <c r="E187" s="29" t="str">
        <f>"Worksheet H ln "&amp;'WS H-p1 Other Taxes'!A41&amp;"."&amp;'WS H-p1 Other Taxes'!M8&amp;""</f>
        <v>Worksheet H ln 23.(F)</v>
      </c>
      <c r="F187" s="19"/>
      <c r="G187" s="122">
        <f>+'WS H-p1 Other Taxes'!M41</f>
        <v>-765</v>
      </c>
      <c r="H187" s="255"/>
      <c r="I187" s="32" t="s">
        <v>567</v>
      </c>
      <c r="J187" s="50">
        <f>VLOOKUP(I187,APCo_Hist_Allocators,2,FALSE)</f>
        <v>0</v>
      </c>
      <c r="K187" s="19"/>
      <c r="L187" s="107">
        <f>+J187*G187</f>
        <v>0</v>
      </c>
      <c r="M187" s="29"/>
      <c r="N187" s="3"/>
      <c r="O187" s="3"/>
    </row>
    <row r="188" spans="2:15" ht="15" thickBot="1">
      <c r="B188" s="92">
        <f t="shared" si="13"/>
        <v>297</v>
      </c>
      <c r="C188" s="20"/>
      <c r="D188" s="42" t="s">
        <v>581</v>
      </c>
      <c r="E188" s="29" t="str">
        <f>"Worksheet H ln "&amp;'WS H-p1 Other Taxes'!A41&amp;"."&amp;'WS H-p1 Other Taxes'!K8&amp;""</f>
        <v>Worksheet H ln 23.(E)</v>
      </c>
      <c r="F188" s="19"/>
      <c r="G188" s="123">
        <f>+'WS H-p1 Other Taxes'!K41</f>
        <v>0</v>
      </c>
      <c r="H188" s="255"/>
      <c r="I188" s="32" t="s">
        <v>960</v>
      </c>
      <c r="J188" s="50">
        <f>VLOOKUP(I188,APCo_Hist_Allocators,2,FALSE)</f>
        <v>0</v>
      </c>
      <c r="K188" s="19"/>
      <c r="L188" s="108">
        <f>+J188*G188</f>
        <v>0</v>
      </c>
      <c r="M188" s="29"/>
      <c r="N188" s="3"/>
      <c r="O188" s="3"/>
    </row>
    <row r="189" spans="2:15" ht="15">
      <c r="B189" s="92">
        <f>+B188+1</f>
        <v>298</v>
      </c>
      <c r="C189" s="20"/>
      <c r="D189" s="42" t="s">
        <v>503</v>
      </c>
      <c r="E189" s="105" t="str">
        <f>"(sum lns "&amp;B184&amp;" to "&amp;B188&amp;")"</f>
        <v>(sum lns 293 to 297)</v>
      </c>
      <c r="F189" s="19"/>
      <c r="G189" s="122">
        <f>SUM(G184:G188)</f>
        <v>-765</v>
      </c>
      <c r="H189" s="29"/>
      <c r="I189" s="32"/>
      <c r="J189" s="31"/>
      <c r="K189" s="19"/>
      <c r="L189" s="107">
        <f>SUM(L184:L188)</f>
        <v>0</v>
      </c>
      <c r="M189" s="19"/>
      <c r="N189" s="3"/>
      <c r="O189" s="3"/>
    </row>
    <row r="190" spans="2:15" ht="15">
      <c r="B190" s="92"/>
      <c r="C190" s="20"/>
      <c r="D190" s="42"/>
      <c r="E190" s="19"/>
      <c r="F190" s="19"/>
      <c r="G190" s="19"/>
      <c r="H190" s="29"/>
      <c r="I190" s="32"/>
      <c r="J190" s="31"/>
      <c r="K190" s="19"/>
      <c r="L190" s="19"/>
      <c r="M190" s="468"/>
      <c r="N190" s="3"/>
      <c r="O190" s="3"/>
    </row>
    <row r="191" spans="2:15" ht="15">
      <c r="B191" s="92">
        <f>+B189+1</f>
        <v>299</v>
      </c>
      <c r="C191" s="20"/>
      <c r="D191" s="42" t="s">
        <v>962</v>
      </c>
      <c r="E191" s="29" t="s">
        <v>77</v>
      </c>
      <c r="F191" s="64"/>
      <c r="G191" s="19"/>
      <c r="H191" s="707"/>
      <c r="I191" s="23"/>
      <c r="J191" s="13"/>
      <c r="K191" s="19"/>
      <c r="L191" s="478"/>
      <c r="M191" s="19"/>
      <c r="N191" s="3"/>
      <c r="O191" s="3"/>
    </row>
    <row r="192" spans="2:15" ht="15">
      <c r="B192" s="92">
        <f aca="true" t="shared" si="14" ref="B192:B197">+B191+1</f>
        <v>300</v>
      </c>
      <c r="C192" s="20"/>
      <c r="D192" s="60" t="s">
        <v>963</v>
      </c>
      <c r="E192" s="19"/>
      <c r="F192" s="503"/>
      <c r="G192" s="429">
        <f>IF(F352&gt;0,1-(((1-F353)*(1-F352))/(1-F353*F352*F354)),0)</f>
        <v>0.389</v>
      </c>
      <c r="H192" s="711"/>
      <c r="I192" s="711"/>
      <c r="J192" s="13"/>
      <c r="K192" s="479"/>
      <c r="L192" s="478"/>
      <c r="M192" s="19"/>
      <c r="N192" s="3"/>
      <c r="O192" s="3"/>
    </row>
    <row r="193" spans="2:15" ht="15">
      <c r="B193" s="92">
        <f t="shared" si="14"/>
        <v>301</v>
      </c>
      <c r="C193" s="20"/>
      <c r="D193" s="51" t="s">
        <v>964</v>
      </c>
      <c r="E193" s="19"/>
      <c r="F193" s="503"/>
      <c r="G193" s="429">
        <f>IF(L270&gt;0,($G192/(1-$G192))*(1-$L270/$L273),0)</f>
        <v>0.4237103398936113</v>
      </c>
      <c r="H193" s="711"/>
      <c r="I193" s="711"/>
      <c r="J193" s="13"/>
      <c r="K193" s="479"/>
      <c r="L193" s="478"/>
      <c r="M193" s="19"/>
      <c r="N193" s="3"/>
      <c r="O193" s="3"/>
    </row>
    <row r="194" spans="2:15" ht="15">
      <c r="B194" s="92">
        <f t="shared" si="14"/>
        <v>302</v>
      </c>
      <c r="C194" s="20"/>
      <c r="D194" s="61" t="str">
        <f>"       where WCLTD=(ln "&amp;B270&amp;") and WACC = (ln "&amp;B273&amp;")"</f>
        <v>       where WCLTD=(ln 350) and WACC = (ln 353)</v>
      </c>
      <c r="E194" s="29"/>
      <c r="F194" s="700"/>
      <c r="G194" s="19"/>
      <c r="H194" s="711"/>
      <c r="I194" s="711"/>
      <c r="J194" s="701"/>
      <c r="K194" s="479"/>
      <c r="L194" s="469"/>
      <c r="M194" s="19"/>
      <c r="N194" s="3"/>
      <c r="O194" s="3"/>
    </row>
    <row r="195" spans="2:15" ht="15">
      <c r="B195" s="92">
        <f t="shared" si="14"/>
        <v>303</v>
      </c>
      <c r="C195" s="20"/>
      <c r="D195" s="42" t="s">
        <v>80</v>
      </c>
      <c r="E195" s="703"/>
      <c r="F195" s="503"/>
      <c r="G195" s="19"/>
      <c r="H195" s="707"/>
      <c r="I195" s="23"/>
      <c r="J195" s="701"/>
      <c r="K195" s="479"/>
      <c r="L195" s="478"/>
      <c r="M195" s="19"/>
      <c r="N195" s="3"/>
      <c r="O195" s="3"/>
    </row>
    <row r="196" spans="2:15" ht="15">
      <c r="B196" s="92">
        <f t="shared" si="14"/>
        <v>304</v>
      </c>
      <c r="C196" s="20"/>
      <c r="D196" s="62" t="str">
        <f>"      GRCF=1 / (1 - T)  = (from ln "&amp;B192&amp;")"</f>
        <v>      GRCF=1 / (1 - T)  = (from ln 300)</v>
      </c>
      <c r="E196" s="64"/>
      <c r="F196" s="64"/>
      <c r="G196" s="430">
        <f>IF(G192&gt;0,1/(1-G192),0)</f>
        <v>1.6366612111292962</v>
      </c>
      <c r="H196" s="707"/>
      <c r="I196" s="128"/>
      <c r="J196" s="704"/>
      <c r="K196" s="158"/>
      <c r="L196" s="470"/>
      <c r="M196" s="19"/>
      <c r="N196" s="3"/>
      <c r="O196" s="3"/>
    </row>
    <row r="197" spans="2:15" ht="15">
      <c r="B197" s="92">
        <f t="shared" si="14"/>
        <v>305</v>
      </c>
      <c r="C197" s="20"/>
      <c r="D197" s="42" t="s">
        <v>965</v>
      </c>
      <c r="E197" s="43" t="s">
        <v>292</v>
      </c>
      <c r="F197" s="64"/>
      <c r="G197" s="1089">
        <v>0</v>
      </c>
      <c r="H197" s="707"/>
      <c r="I197" s="128"/>
      <c r="J197" s="705"/>
      <c r="K197" s="158"/>
      <c r="L197" s="159"/>
      <c r="M197" s="32"/>
      <c r="N197" s="3"/>
      <c r="O197" s="3"/>
    </row>
    <row r="198" spans="2:15" ht="15">
      <c r="B198" s="92"/>
      <c r="C198" s="20"/>
      <c r="D198" s="42"/>
      <c r="E198" s="19"/>
      <c r="F198" s="503"/>
      <c r="G198" s="107"/>
      <c r="H198" s="707"/>
      <c r="I198" s="128"/>
      <c r="J198" s="702"/>
      <c r="K198" s="158"/>
      <c r="L198" s="478"/>
      <c r="M198" s="19"/>
      <c r="N198" s="3"/>
      <c r="O198" s="3"/>
    </row>
    <row r="199" spans="2:15" ht="15">
      <c r="B199" s="92">
        <f>+B197+1</f>
        <v>306</v>
      </c>
      <c r="C199" s="20"/>
      <c r="D199" s="60" t="s">
        <v>971</v>
      </c>
      <c r="E199" s="63" t="str">
        <f>"(ln "&amp;B193&amp;" * ln "&amp;B203&amp;")"</f>
        <v>(ln 301 * ln 309)</v>
      </c>
      <c r="F199" s="160"/>
      <c r="G199" s="107">
        <f>+G193*G203</f>
        <v>-609.325395917491</v>
      </c>
      <c r="H199" s="707"/>
      <c r="I199" s="128"/>
      <c r="J199" s="702"/>
      <c r="K199" s="107"/>
      <c r="L199" s="107">
        <f>+L203*G193</f>
        <v>-609.325395917491</v>
      </c>
      <c r="M199" s="19"/>
      <c r="N199" s="3"/>
      <c r="O199" s="3"/>
    </row>
    <row r="200" spans="2:15" ht="15" thickBot="1">
      <c r="B200" s="92">
        <f>+B199+1</f>
        <v>307</v>
      </c>
      <c r="C200" s="20"/>
      <c r="D200" s="51" t="s">
        <v>972</v>
      </c>
      <c r="E200" s="63" t="str">
        <f>"(ln "&amp;B196&amp;" * ln "&amp;B197&amp;")"</f>
        <v>(ln 304 * ln 305)</v>
      </c>
      <c r="F200" s="63"/>
      <c r="G200" s="108">
        <f>G196*G197</f>
        <v>0</v>
      </c>
      <c r="H200" s="707"/>
      <c r="I200" s="200" t="s">
        <v>961</v>
      </c>
      <c r="J200" s="50">
        <f>VLOOKUP(I200,APCo_Hist_Allocators,2,FALSE)</f>
        <v>0</v>
      </c>
      <c r="K200" s="107"/>
      <c r="L200" s="108">
        <f>+G200*J200</f>
        <v>0</v>
      </c>
      <c r="M200" s="19"/>
      <c r="N200" s="3"/>
      <c r="O200" s="3"/>
    </row>
    <row r="201" spans="2:15" ht="15">
      <c r="B201" s="92">
        <f>+B200+1</f>
        <v>308</v>
      </c>
      <c r="C201" s="20"/>
      <c r="D201" s="60" t="s">
        <v>504</v>
      </c>
      <c r="E201" s="19" t="str">
        <f>"(sum lns "&amp;B199&amp;" to "&amp;B200&amp;")"</f>
        <v>(sum lns 306 to 307)</v>
      </c>
      <c r="F201" s="63"/>
      <c r="G201" s="131">
        <f>SUM(G199:G200)</f>
        <v>-609.325395917491</v>
      </c>
      <c r="H201" s="707"/>
      <c r="I201" s="128" t="s">
        <v>555</v>
      </c>
      <c r="J201" s="706"/>
      <c r="K201" s="107"/>
      <c r="L201" s="131">
        <f>SUM(L199:L200)</f>
        <v>-609.325395917491</v>
      </c>
      <c r="M201" s="19"/>
      <c r="N201" s="3"/>
      <c r="O201" s="3"/>
    </row>
    <row r="202" spans="2:15" ht="15">
      <c r="B202" s="92"/>
      <c r="C202" s="20"/>
      <c r="D202" s="42"/>
      <c r="E202" s="19"/>
      <c r="F202" s="19"/>
      <c r="G202" s="19"/>
      <c r="H202" s="29"/>
      <c r="I202" s="32"/>
      <c r="J202" s="31"/>
      <c r="K202" s="19"/>
      <c r="L202" s="19"/>
      <c r="M202" s="19"/>
      <c r="N202" s="3"/>
      <c r="O202" s="3"/>
    </row>
    <row r="203" spans="2:15" ht="15">
      <c r="B203" s="92">
        <f>+B201+1</f>
        <v>309</v>
      </c>
      <c r="C203" s="20"/>
      <c r="D203" s="62" t="s">
        <v>659</v>
      </c>
      <c r="E203" s="62" t="str">
        <f>"(ln "&amp;B128&amp;" * ln "&amp;B273&amp;")"</f>
        <v>(ln 255 * ln 353)</v>
      </c>
      <c r="F203" s="48"/>
      <c r="G203" s="107">
        <f>+$L273*G128</f>
        <v>-1438.0706311544948</v>
      </c>
      <c r="H203" s="29"/>
      <c r="I203" s="128"/>
      <c r="J203" s="107"/>
      <c r="K203" s="107"/>
      <c r="L203" s="107">
        <f>+L273*L128</f>
        <v>-1438.0706311544948</v>
      </c>
      <c r="M203" s="19"/>
      <c r="N203" s="159"/>
      <c r="O203" s="159"/>
    </row>
    <row r="204" spans="2:13" ht="15">
      <c r="B204" s="92"/>
      <c r="C204" s="20"/>
      <c r="D204" s="60"/>
      <c r="E204" s="13"/>
      <c r="F204" s="13"/>
      <c r="G204" s="107"/>
      <c r="H204" s="107"/>
      <c r="I204" s="128"/>
      <c r="J204" s="128"/>
      <c r="K204" s="107"/>
      <c r="L204" s="107"/>
      <c r="M204" s="19"/>
    </row>
    <row r="205" spans="2:13" ht="15">
      <c r="B205" s="92">
        <f>+B203+1</f>
        <v>310</v>
      </c>
      <c r="C205" s="20"/>
      <c r="D205" s="691" t="s">
        <v>539</v>
      </c>
      <c r="E205" s="13"/>
      <c r="F205" s="58"/>
      <c r="G205" s="122">
        <f>-'WS D IPP Credits'!C11</f>
        <v>0</v>
      </c>
      <c r="H205" s="122"/>
      <c r="I205" s="132" t="s">
        <v>569</v>
      </c>
      <c r="J205" s="50">
        <f>VLOOKUP(I205,APCo_Hist_Allocators,2,FALSE)</f>
        <v>1</v>
      </c>
      <c r="K205" s="120"/>
      <c r="L205" s="107">
        <f>+J205*G205</f>
        <v>0</v>
      </c>
      <c r="M205" s="47"/>
    </row>
    <row r="206" spans="2:13" ht="15">
      <c r="B206" s="92"/>
      <c r="C206" s="20"/>
      <c r="D206" s="691"/>
      <c r="E206" s="13"/>
      <c r="F206" s="58"/>
      <c r="G206" s="122"/>
      <c r="H206" s="122"/>
      <c r="I206" s="132"/>
      <c r="J206" s="50"/>
      <c r="K206" s="120"/>
      <c r="L206" s="107"/>
      <c r="M206" s="47"/>
    </row>
    <row r="207" spans="2:13" ht="15">
      <c r="B207" s="92">
        <f>+B205+1</f>
        <v>311</v>
      </c>
      <c r="C207" s="20"/>
      <c r="D207" s="691"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2">
        <f>+'WS N - Sale of Plant Held'!O31</f>
        <v>0</v>
      </c>
      <c r="H207" s="122"/>
      <c r="I207" s="574"/>
      <c r="J207" s="50"/>
      <c r="K207" s="285"/>
      <c r="L207" s="122">
        <f>'WS N - Sale of Plant Held'!S31</f>
        <v>0</v>
      </c>
      <c r="M207" s="278"/>
    </row>
    <row r="208" spans="2:13" ht="15">
      <c r="B208" s="92"/>
      <c r="C208" s="20"/>
      <c r="D208" s="691"/>
      <c r="E208" s="15"/>
      <c r="F208" s="46"/>
      <c r="G208" s="122"/>
      <c r="H208" s="122"/>
      <c r="I208" s="574"/>
      <c r="J208" s="50"/>
      <c r="K208" s="285"/>
      <c r="L208" s="122"/>
      <c r="M208" s="278"/>
    </row>
    <row r="209" spans="2:13" ht="15">
      <c r="B209" s="92">
        <f>+B207+1</f>
        <v>312</v>
      </c>
      <c r="C209" s="20"/>
      <c r="D209" s="691" t="str">
        <f>" Tax Impact on Net Loss / (Gain) on Sales of Plant Held for Future Use (ln "&amp;B207&amp;" * ln"&amp;B193&amp;")"</f>
        <v> Tax Impact on Net Loss / (Gain) on Sales of Plant Held for Future Use (ln 311 * ln301)</v>
      </c>
      <c r="E209" s="15"/>
      <c r="F209" s="46"/>
      <c r="G209" s="122">
        <f>-+G193*G207</f>
        <v>0</v>
      </c>
      <c r="H209" s="122"/>
      <c r="I209" s="574"/>
      <c r="J209" s="50"/>
      <c r="K209" s="285"/>
      <c r="L209" s="122">
        <f>L207*-G193</f>
        <v>0</v>
      </c>
      <c r="M209" s="278"/>
    </row>
    <row r="210" spans="2:13" ht="15" thickBot="1">
      <c r="B210" s="92"/>
      <c r="C210" s="20"/>
      <c r="D210" s="42"/>
      <c r="E210" s="13"/>
      <c r="F210" s="13"/>
      <c r="G210" s="108"/>
      <c r="H210" s="140"/>
      <c r="I210" s="128"/>
      <c r="J210" s="128"/>
      <c r="K210" s="107"/>
      <c r="L210" s="108"/>
      <c r="M210" s="19"/>
    </row>
    <row r="211" spans="2:13" ht="15" thickBot="1">
      <c r="B211" s="92">
        <f>+B209+1</f>
        <v>313</v>
      </c>
      <c r="C211" s="20"/>
      <c r="D211" s="13" t="s">
        <v>857</v>
      </c>
      <c r="E211" s="13"/>
      <c r="F211" s="13"/>
      <c r="G211" s="157">
        <f>+G205+G203+G201+G189+G180+G170+G207+G209</f>
        <v>194543.073772928</v>
      </c>
      <c r="H211" s="13"/>
      <c r="I211" s="13"/>
      <c r="J211" s="13"/>
      <c r="K211" s="13"/>
      <c r="L211" s="157">
        <f>+L205+L203+L201+L189+L180+L170+L207+L209</f>
        <v>195088.42090748338</v>
      </c>
      <c r="M211" s="19"/>
    </row>
    <row r="212" spans="2:13" ht="15" thickTop="1">
      <c r="B212" s="92"/>
      <c r="C212" s="20"/>
      <c r="D212" s="17" t="str">
        <f>"    (sum lns "&amp;B170&amp;", "&amp;B180&amp;", "&amp;B189&amp;", "&amp;B201&amp;", "&amp;B203&amp;", "&amp;B205&amp;", "&amp;B207&amp;", "&amp;B209&amp;")"</f>
        <v>    (sum lns 281, 290, 298, 308, 309, 310, 311, 312)</v>
      </c>
      <c r="E212" s="13"/>
      <c r="F212" s="125"/>
      <c r="G212" s="13"/>
      <c r="H212" s="13"/>
      <c r="I212" s="13"/>
      <c r="J212" s="13"/>
      <c r="K212" s="13"/>
      <c r="L212" s="13"/>
      <c r="M212" s="19"/>
    </row>
    <row r="213" spans="2:13" ht="15">
      <c r="B213" s="92"/>
      <c r="C213" s="20"/>
      <c r="D213" s="13"/>
      <c r="E213" s="13"/>
      <c r="F213" s="125"/>
      <c r="G213" s="13"/>
      <c r="H213" s="13"/>
      <c r="I213" s="13"/>
      <c r="J213" s="13"/>
      <c r="K213" s="13"/>
      <c r="L213" s="13"/>
      <c r="M213" s="19"/>
    </row>
    <row r="214" spans="2:13" ht="15">
      <c r="B214" s="92"/>
      <c r="C214" s="20"/>
      <c r="D214" s="17"/>
      <c r="E214" s="13"/>
      <c r="F214" s="23" t="str">
        <f>F131</f>
        <v>AEPTCo subsidiaries in PJM</v>
      </c>
      <c r="G214" s="13"/>
      <c r="H214" s="13"/>
      <c r="I214" s="13"/>
      <c r="J214" s="13"/>
      <c r="K214" s="13"/>
      <c r="L214" s="13"/>
      <c r="M214" s="65"/>
    </row>
    <row r="215" spans="2:13" ht="15">
      <c r="B215" s="92"/>
      <c r="C215" s="20"/>
      <c r="D215" s="17"/>
      <c r="E215" s="13"/>
      <c r="F215" s="23" t="str">
        <f>F132</f>
        <v>Transmission Cost of Service Formula Rate</v>
      </c>
      <c r="G215" s="13"/>
      <c r="H215" s="13"/>
      <c r="I215" s="13"/>
      <c r="J215" s="13"/>
      <c r="K215" s="13"/>
      <c r="L215" s="13"/>
      <c r="M215" s="65"/>
    </row>
    <row r="216" spans="2:13" ht="15">
      <c r="B216" s="13"/>
      <c r="C216" s="20"/>
      <c r="D216" s="13"/>
      <c r="E216" s="13"/>
      <c r="F216" s="23" t="str">
        <f>F133</f>
        <v>Utilizing  Historic Cost Data for 2014 with Year-End Rate Base Balances</v>
      </c>
      <c r="G216" s="13"/>
      <c r="H216" s="13"/>
      <c r="I216" s="13"/>
      <c r="J216" s="13"/>
      <c r="K216" s="13"/>
      <c r="M216" s="145"/>
    </row>
    <row r="217" spans="2:13" ht="15">
      <c r="B217" s="92"/>
      <c r="C217" s="20"/>
      <c r="E217" s="23"/>
      <c r="F217" s="23"/>
      <c r="G217" s="23"/>
      <c r="H217" s="23"/>
      <c r="I217" s="23"/>
      <c r="J217" s="23"/>
      <c r="K217" s="23"/>
      <c r="M217" s="19"/>
    </row>
    <row r="218" spans="2:13" ht="15">
      <c r="B218" s="92"/>
      <c r="C218" s="20"/>
      <c r="D218" s="13"/>
      <c r="E218" s="17"/>
      <c r="F218" s="23" t="str">
        <f>F135</f>
        <v>AEP KENTUCKY TRANSMISSION COMPANY</v>
      </c>
      <c r="G218" s="17"/>
      <c r="H218" s="17"/>
      <c r="I218" s="17"/>
      <c r="J218" s="17"/>
      <c r="K218" s="17"/>
      <c r="L218" s="17"/>
      <c r="M218" s="17"/>
    </row>
    <row r="219" spans="2:13" ht="15">
      <c r="B219" s="92"/>
      <c r="C219" s="20"/>
      <c r="D219" s="13"/>
      <c r="E219" s="17"/>
      <c r="F219" s="23"/>
      <c r="G219" s="17"/>
      <c r="H219" s="17"/>
      <c r="I219" s="17"/>
      <c r="J219" s="17"/>
      <c r="K219" s="17"/>
      <c r="L219" s="17"/>
      <c r="M219" s="17"/>
    </row>
    <row r="220" spans="2:13" ht="15">
      <c r="B220" s="92"/>
      <c r="C220" s="20"/>
      <c r="D220" s="13"/>
      <c r="F220" s="38" t="s">
        <v>509</v>
      </c>
      <c r="G220" s="13"/>
      <c r="H220" s="18"/>
      <c r="I220" s="18"/>
      <c r="J220" s="18"/>
      <c r="K220" s="18"/>
      <c r="L220" s="18"/>
      <c r="M220" s="19"/>
    </row>
    <row r="221" spans="2:13" ht="15">
      <c r="B221" s="92"/>
      <c r="C221" s="20"/>
      <c r="D221" s="40"/>
      <c r="E221" s="18"/>
      <c r="F221" s="18"/>
      <c r="G221" s="18"/>
      <c r="H221" s="18"/>
      <c r="I221" s="18"/>
      <c r="J221" s="18"/>
      <c r="K221" s="18"/>
      <c r="L221" s="18"/>
      <c r="M221" s="19"/>
    </row>
    <row r="222" spans="2:15" ht="15">
      <c r="B222" s="92" t="s">
        <v>557</v>
      </c>
      <c r="C222" s="20"/>
      <c r="D222" s="40"/>
      <c r="E222" s="18"/>
      <c r="F222" s="18"/>
      <c r="G222" s="18"/>
      <c r="H222" s="18"/>
      <c r="I222" s="18"/>
      <c r="J222" s="18"/>
      <c r="K222" s="18"/>
      <c r="L222" s="18"/>
      <c r="M222" s="19"/>
      <c r="N222" s="59"/>
      <c r="O222" s="59"/>
    </row>
    <row r="223" spans="2:16" ht="15" thickBot="1">
      <c r="B223" s="93" t="s">
        <v>558</v>
      </c>
      <c r="C223" s="25"/>
      <c r="D223" s="57" t="s">
        <v>696</v>
      </c>
      <c r="E223" s="26"/>
      <c r="F223" s="26"/>
      <c r="G223" s="26"/>
      <c r="H223" s="26"/>
      <c r="I223" s="26"/>
      <c r="J223" s="26"/>
      <c r="K223" s="15"/>
      <c r="L223" s="13"/>
      <c r="M223" s="19"/>
      <c r="N223" s="59"/>
      <c r="O223" s="59"/>
      <c r="P223"/>
    </row>
    <row r="224" spans="2:16" ht="15">
      <c r="B224" s="92">
        <f>+B211+1</f>
        <v>314</v>
      </c>
      <c r="C224" s="20"/>
      <c r="D224" s="26" t="s">
        <v>605</v>
      </c>
      <c r="E224" s="143" t="str">
        <f>"(ln "&amp;B61&amp;")"</f>
        <v>(ln 197)</v>
      </c>
      <c r="F224" s="71"/>
      <c r="H224" s="72"/>
      <c r="I224" s="72"/>
      <c r="J224" s="72"/>
      <c r="K224" s="72"/>
      <c r="L224" s="129">
        <f>+G61</f>
        <v>0</v>
      </c>
      <c r="M224" s="19"/>
      <c r="N224" s="59"/>
      <c r="O224" s="59"/>
      <c r="P224"/>
    </row>
    <row r="225" spans="2:16" ht="15">
      <c r="B225" s="92">
        <f>+B224+1</f>
        <v>315</v>
      </c>
      <c r="C225" s="20"/>
      <c r="D225" s="26" t="s">
        <v>78</v>
      </c>
      <c r="E225" s="73"/>
      <c r="F225" s="73"/>
      <c r="G225" s="74"/>
      <c r="H225" s="73"/>
      <c r="I225" s="73"/>
      <c r="J225" s="73"/>
      <c r="K225" s="73"/>
      <c r="L225" s="1089">
        <v>0</v>
      </c>
      <c r="M225" s="19"/>
      <c r="P225"/>
    </row>
    <row r="226" spans="2:16" ht="15" thickBot="1">
      <c r="B226" s="92">
        <f>+B225+1</f>
        <v>316</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108">
        <f>+'WS A  - RB Support '!E63</f>
        <v>0</v>
      </c>
      <c r="M226" s="19"/>
      <c r="P226"/>
    </row>
    <row r="227" spans="2:16" ht="15">
      <c r="B227" s="92">
        <f>+B226+1</f>
        <v>317</v>
      </c>
      <c r="C227" s="20"/>
      <c r="D227" s="26" t="s">
        <v>697</v>
      </c>
      <c r="E227" s="124" t="str">
        <f>"(ln "&amp;B224&amp;" - ln "&amp;B225&amp;" - ln "&amp;B226&amp;")"</f>
        <v>(ln 314 - ln 315 - ln 316)</v>
      </c>
      <c r="F227" s="71"/>
      <c r="H227" s="72"/>
      <c r="I227" s="72"/>
      <c r="J227" s="41"/>
      <c r="K227" s="72"/>
      <c r="L227" s="129">
        <f>L224-L225-L226</f>
        <v>0</v>
      </c>
      <c r="M227" s="19"/>
      <c r="P227"/>
    </row>
    <row r="228" spans="2:16" ht="15">
      <c r="B228" s="92"/>
      <c r="C228" s="20"/>
      <c r="D228" s="15"/>
      <c r="E228" s="71"/>
      <c r="F228" s="71"/>
      <c r="G228" s="41"/>
      <c r="H228" s="72"/>
      <c r="I228" s="72"/>
      <c r="J228" s="41"/>
      <c r="K228" s="72"/>
      <c r="L228" s="73"/>
      <c r="M228" s="19"/>
      <c r="P228"/>
    </row>
    <row r="229" spans="2:16" ht="15">
      <c r="B229" s="92">
        <f>+B227+1</f>
        <v>318</v>
      </c>
      <c r="C229" s="20"/>
      <c r="D229" s="26" t="s">
        <v>698</v>
      </c>
      <c r="E229" s="76" t="str">
        <f>"(ln "&amp;B227&amp;" / ln "&amp;B224&amp;")"</f>
        <v>(ln 317 / ln 314)</v>
      </c>
      <c r="F229" s="75"/>
      <c r="H229" s="77"/>
      <c r="I229" s="78"/>
      <c r="J229" s="78"/>
      <c r="K229" s="1070" t="s">
        <v>582</v>
      </c>
      <c r="L229" s="79">
        <f>IF(L224=0,1,L227/L224)</f>
        <v>1</v>
      </c>
      <c r="M229" s="19"/>
      <c r="P229"/>
    </row>
    <row r="230" spans="2:13" ht="15">
      <c r="B230" s="92"/>
      <c r="C230" s="20"/>
      <c r="D230" s="70"/>
      <c r="E230" s="26"/>
      <c r="F230" s="26"/>
      <c r="G230" s="142"/>
      <c r="H230" s="26"/>
      <c r="I230" s="80"/>
      <c r="J230" s="26"/>
      <c r="K230" s="26"/>
      <c r="L230" s="18"/>
      <c r="M230" s="19"/>
    </row>
    <row r="231" spans="2:13" ht="30">
      <c r="B231" s="92">
        <f>B229+1</f>
        <v>319</v>
      </c>
      <c r="C231" s="80"/>
      <c r="D231" s="57" t="s">
        <v>510</v>
      </c>
      <c r="E231" s="49" t="s">
        <v>973</v>
      </c>
      <c r="F231" s="49" t="s">
        <v>643</v>
      </c>
      <c r="G231" s="209" t="s">
        <v>689</v>
      </c>
      <c r="H231" s="204" t="s">
        <v>559</v>
      </c>
      <c r="I231" s="32"/>
      <c r="J231" s="19"/>
      <c r="K231" s="19"/>
      <c r="L231" s="19"/>
      <c r="M231" s="19"/>
    </row>
    <row r="232" spans="2:13" ht="15">
      <c r="B232" s="92">
        <f aca="true" t="shared" si="15" ref="B232:B237">+B231+1</f>
        <v>320</v>
      </c>
      <c r="C232" s="80"/>
      <c r="D232" s="1019" t="s">
        <v>877</v>
      </c>
      <c r="E232" s="29"/>
      <c r="F232" s="29"/>
      <c r="G232" s="122"/>
      <c r="H232" s="122"/>
      <c r="I232" s="49"/>
      <c r="J232" s="50"/>
      <c r="K232" s="29"/>
      <c r="L232" s="122"/>
      <c r="M232" s="19"/>
    </row>
    <row r="233" spans="2:13" ht="15">
      <c r="B233" s="92">
        <f t="shared" si="15"/>
        <v>321</v>
      </c>
      <c r="C233" s="80"/>
      <c r="D233" s="61" t="s">
        <v>568</v>
      </c>
      <c r="E233" s="29" t="s">
        <v>466</v>
      </c>
      <c r="F233" s="1092">
        <v>0</v>
      </c>
      <c r="G233" s="1158">
        <v>5503</v>
      </c>
      <c r="H233" s="205">
        <f>+F233+G233</f>
        <v>5503</v>
      </c>
      <c r="I233" s="80" t="s">
        <v>561</v>
      </c>
      <c r="J233" s="50">
        <f>VLOOKUP(I233,APCo_Hist_Allocators,2,FALSE)</f>
        <v>1</v>
      </c>
      <c r="K233" s="82"/>
      <c r="L233" s="107">
        <f>(F233+G233)*J233</f>
        <v>5503</v>
      </c>
      <c r="M233" s="19"/>
    </row>
    <row r="234" spans="2:13" ht="15">
      <c r="B234" s="92">
        <f t="shared" si="15"/>
        <v>322</v>
      </c>
      <c r="C234" s="80"/>
      <c r="D234" s="61" t="s">
        <v>745</v>
      </c>
      <c r="E234" s="19" t="s">
        <v>186</v>
      </c>
      <c r="F234" s="1092">
        <v>0</v>
      </c>
      <c r="G234" s="1092">
        <v>0</v>
      </c>
      <c r="H234" s="122">
        <f>+F234+G234</f>
        <v>0</v>
      </c>
      <c r="I234" s="32" t="s">
        <v>567</v>
      </c>
      <c r="J234" s="50">
        <f>VLOOKUP(I234,APCo_Proj_Allocators,2,FALSE)</f>
        <v>0</v>
      </c>
      <c r="K234" s="82"/>
      <c r="L234" s="107">
        <f>(F234+G234)*J234</f>
        <v>0</v>
      </c>
      <c r="M234" s="19"/>
    </row>
    <row r="235" spans="2:13" ht="15">
      <c r="B235" s="92">
        <f t="shared" si="15"/>
        <v>323</v>
      </c>
      <c r="C235" s="80"/>
      <c r="D235" s="1019" t="s">
        <v>877</v>
      </c>
      <c r="E235" s="29"/>
      <c r="F235" s="29"/>
      <c r="G235" s="122"/>
      <c r="H235" s="122"/>
      <c r="I235" s="49"/>
      <c r="J235" s="50"/>
      <c r="K235" s="29"/>
      <c r="L235" s="122"/>
      <c r="M235" s="19"/>
    </row>
    <row r="236" spans="2:13" ht="15" thickBot="1">
      <c r="B236" s="92">
        <f t="shared" si="15"/>
        <v>324</v>
      </c>
      <c r="C236" s="80"/>
      <c r="D236" s="61" t="s">
        <v>661</v>
      </c>
      <c r="E236" s="19" t="s">
        <v>81</v>
      </c>
      <c r="F236" s="1094">
        <v>0</v>
      </c>
      <c r="G236" s="1094">
        <v>7</v>
      </c>
      <c r="H236" s="108">
        <f>+F236+G236</f>
        <v>7</v>
      </c>
      <c r="I236" s="32" t="s">
        <v>567</v>
      </c>
      <c r="J236" s="50">
        <f>VLOOKUP(I236,APCo_Hist_Allocators,2,FALSE)</f>
        <v>0</v>
      </c>
      <c r="K236" s="82"/>
      <c r="L236" s="108">
        <f>(F236+G236)*J236</f>
        <v>0</v>
      </c>
      <c r="M236" s="19"/>
    </row>
    <row r="237" spans="2:13" ht="15">
      <c r="B237" s="92">
        <f t="shared" si="15"/>
        <v>325</v>
      </c>
      <c r="C237" s="80"/>
      <c r="D237" s="61" t="s">
        <v>559</v>
      </c>
      <c r="E237" s="29" t="str">
        <f>"(sum lns "&amp;B233&amp;", "&amp;B234&amp;", &amp; "&amp;B236&amp;")"</f>
        <v>(sum lns 321, 322, &amp; 324)</v>
      </c>
      <c r="F237" s="107">
        <f>SUM(F232:F236)</f>
        <v>0</v>
      </c>
      <c r="G237" s="283">
        <f>SUM(G232:G236)</f>
        <v>5510</v>
      </c>
      <c r="H237" s="283">
        <f>SUM(H232:H236)</f>
        <v>5510</v>
      </c>
      <c r="I237" s="32"/>
      <c r="J237" s="19"/>
      <c r="K237" s="19"/>
      <c r="L237" s="107">
        <f>SUM(L232:L236)</f>
        <v>5503</v>
      </c>
      <c r="M237" s="35"/>
    </row>
    <row r="238" spans="2:13" ht="15">
      <c r="B238" s="92"/>
      <c r="C238" s="80"/>
      <c r="D238" s="61" t="s">
        <v>555</v>
      </c>
      <c r="E238" s="29" t="s">
        <v>555</v>
      </c>
      <c r="F238" s="29"/>
      <c r="G238" s="15"/>
      <c r="H238" s="29"/>
      <c r="I238" s="141"/>
      <c r="M238" s="13"/>
    </row>
    <row r="239" spans="2:13" ht="15">
      <c r="B239" s="92">
        <f>B237+1</f>
        <v>326</v>
      </c>
      <c r="C239" s="20"/>
      <c r="D239" s="42" t="s">
        <v>513</v>
      </c>
      <c r="E239" s="29"/>
      <c r="F239" s="29"/>
      <c r="G239" s="29"/>
      <c r="H239" s="29"/>
      <c r="I239" s="141"/>
      <c r="K239" s="126" t="s">
        <v>514</v>
      </c>
      <c r="L239" s="127">
        <f>L237/(F237+G237)</f>
        <v>0.9987295825771325</v>
      </c>
      <c r="M239" s="13"/>
    </row>
    <row r="240" spans="2:13" ht="15">
      <c r="B240" s="92"/>
      <c r="C240" s="20"/>
      <c r="D240" s="42"/>
      <c r="E240" s="29"/>
      <c r="F240" s="29"/>
      <c r="G240" s="29"/>
      <c r="H240" s="29"/>
      <c r="I240" s="141"/>
      <c r="K240" s="126"/>
      <c r="L240" s="127"/>
      <c r="M240" s="13"/>
    </row>
    <row r="241" spans="2:13" ht="15">
      <c r="B241" s="92"/>
      <c r="C241" s="20"/>
      <c r="D241" s="1006" t="s">
        <v>996</v>
      </c>
      <c r="E241" s="29"/>
      <c r="F241" s="29"/>
      <c r="G241" s="29"/>
      <c r="H241" s="29"/>
      <c r="I241" s="32"/>
      <c r="J241" s="19"/>
      <c r="K241" s="19"/>
      <c r="L241" s="19"/>
      <c r="M241" s="19"/>
    </row>
    <row r="242" spans="2:13" ht="15" thickBot="1">
      <c r="B242" s="92">
        <f>B239+1</f>
        <v>327</v>
      </c>
      <c r="C242" s="20"/>
      <c r="D242" s="61" t="s">
        <v>658</v>
      </c>
      <c r="E242" s="29"/>
      <c r="F242" s="29"/>
      <c r="G242" s="29"/>
      <c r="H242" s="29"/>
      <c r="I242" s="29"/>
      <c r="J242" s="29"/>
      <c r="K242" s="29"/>
      <c r="L242" s="211" t="s">
        <v>583</v>
      </c>
      <c r="M242" s="19"/>
    </row>
    <row r="243" spans="2:24" ht="15">
      <c r="B243" s="92">
        <f>B242+1</f>
        <v>328</v>
      </c>
      <c r="C243" s="20"/>
      <c r="D243" s="29" t="s">
        <v>694</v>
      </c>
      <c r="E243" s="16" t="str">
        <f>"(Worksheet L, ln. "&amp;'WS L Cost of Debt'!A51&amp;", col. "&amp;'WS L Cost of Debt'!E8&amp;")"</f>
        <v>(Worksheet L, ln. 34, col. (D))</v>
      </c>
      <c r="F243" s="29"/>
      <c r="G243" s="29"/>
      <c r="H243" s="29"/>
      <c r="I243" s="29"/>
      <c r="J243" s="291" t="s">
        <v>198</v>
      </c>
      <c r="K243" s="29"/>
      <c r="L243" s="1004">
        <f>'WS L Cost of Debt'!E51</f>
        <v>162107</v>
      </c>
      <c r="M243" s="29"/>
      <c r="N243" s="59"/>
      <c r="O243" s="59"/>
      <c r="P243" s="59"/>
      <c r="Q243" s="59"/>
      <c r="R243" s="59"/>
      <c r="S243" s="59"/>
      <c r="T243" s="59"/>
      <c r="U243" s="59"/>
      <c r="V243" s="59"/>
      <c r="W243" s="59"/>
      <c r="X243" s="59"/>
    </row>
    <row r="244" spans="2:24" ht="15">
      <c r="B244" s="92">
        <f aca="true" t="shared" si="16" ref="B244:B250">B243+1</f>
        <v>329</v>
      </c>
      <c r="C244" s="20"/>
      <c r="D244" s="29" t="s">
        <v>695</v>
      </c>
      <c r="E244" s="16" t="str">
        <f>"(Worksheet L, ln. "&amp;'WS L Cost of Debt'!A63&amp;", col. "&amp;'WS L Cost of Debt'!E8&amp;")"</f>
        <v>(Worksheet L, ln. 44, col. (D))</v>
      </c>
      <c r="F244" s="29"/>
      <c r="G244" s="29"/>
      <c r="H244" s="29"/>
      <c r="I244" s="29"/>
      <c r="J244" s="29"/>
      <c r="K244" s="29"/>
      <c r="L244" s="122">
        <f>'WS L Cost of Debt'!E63</f>
        <v>0</v>
      </c>
      <c r="M244" s="29"/>
      <c r="N244" s="59"/>
      <c r="O244" s="59"/>
      <c r="P244" s="59"/>
      <c r="Q244" s="59"/>
      <c r="R244" s="59"/>
      <c r="S244" s="59"/>
      <c r="T244" s="59"/>
      <c r="U244" s="59"/>
      <c r="V244" s="59"/>
      <c r="W244" s="59"/>
      <c r="X244" s="59"/>
    </row>
    <row r="245" spans="2:13" ht="15">
      <c r="B245" s="92">
        <f t="shared" si="16"/>
        <v>330</v>
      </c>
      <c r="C245" s="20"/>
      <c r="D245" s="290" t="s">
        <v>837</v>
      </c>
      <c r="E245" s="29"/>
      <c r="F245" s="29"/>
      <c r="G245" s="29"/>
      <c r="H245" s="101"/>
      <c r="I245" s="29"/>
      <c r="J245" s="29"/>
      <c r="K245" s="29"/>
      <c r="L245" s="122"/>
      <c r="M245" s="19"/>
    </row>
    <row r="246" spans="2:13" ht="15">
      <c r="B246" s="92">
        <f t="shared" si="16"/>
        <v>331</v>
      </c>
      <c r="C246" s="20"/>
      <c r="D246" s="29" t="s">
        <v>838</v>
      </c>
      <c r="E246" s="16" t="s">
        <v>99</v>
      </c>
      <c r="F246" s="29"/>
      <c r="G246" s="26"/>
      <c r="H246" s="101"/>
      <c r="I246" s="29"/>
      <c r="J246" s="29"/>
      <c r="K246" s="29"/>
      <c r="L246" s="1092">
        <v>6360215</v>
      </c>
      <c r="M246" s="19"/>
    </row>
    <row r="247" spans="2:13" ht="15">
      <c r="B247" s="92">
        <f t="shared" si="16"/>
        <v>332</v>
      </c>
      <c r="C247" s="20"/>
      <c r="D247" s="29" t="s">
        <v>1018</v>
      </c>
      <c r="E247" s="16" t="s">
        <v>100</v>
      </c>
      <c r="F247" s="29"/>
      <c r="G247" s="29"/>
      <c r="H247" s="101"/>
      <c r="I247" s="29"/>
      <c r="J247" s="29"/>
      <c r="K247" s="29"/>
      <c r="L247" s="1092">
        <v>0</v>
      </c>
      <c r="M247" s="19"/>
    </row>
    <row r="248" spans="2:13" ht="15">
      <c r="B248" s="92">
        <f t="shared" si="16"/>
        <v>333</v>
      </c>
      <c r="C248" s="20"/>
      <c r="D248" s="29" t="s">
        <v>1010</v>
      </c>
      <c r="E248" s="16" t="s">
        <v>101</v>
      </c>
      <c r="F248" s="29"/>
      <c r="G248" s="29"/>
      <c r="H248" s="101"/>
      <c r="I248" s="29"/>
      <c r="J248" s="29"/>
      <c r="K248" s="29"/>
      <c r="L248" s="1093">
        <v>0</v>
      </c>
      <c r="M248" s="19"/>
    </row>
    <row r="249" spans="2:13" ht="15" thickBot="1">
      <c r="B249" s="92">
        <f t="shared" si="16"/>
        <v>334</v>
      </c>
      <c r="C249" s="20"/>
      <c r="D249" s="29" t="s">
        <v>1016</v>
      </c>
      <c r="E249" s="16" t="s">
        <v>102</v>
      </c>
      <c r="F249" s="29"/>
      <c r="G249" s="29"/>
      <c r="H249" s="101"/>
      <c r="I249" s="29"/>
      <c r="J249" s="29"/>
      <c r="K249" s="29"/>
      <c r="L249" s="1094">
        <v>0</v>
      </c>
      <c r="M249" s="19"/>
    </row>
    <row r="250" spans="2:13" ht="15">
      <c r="B250" s="92">
        <f t="shared" si="16"/>
        <v>335</v>
      </c>
      <c r="C250" s="20"/>
      <c r="D250" s="16" t="s">
        <v>839</v>
      </c>
      <c r="E250" s="29" t="str">
        <f>"(ln "&amp;B246&amp;" - ln "&amp;B247&amp;" - ln "&amp;B248&amp;" - ln "&amp;B249&amp;")"</f>
        <v>(ln 331 - ln 332 - ln 333 - ln 334)</v>
      </c>
      <c r="F250" s="256"/>
      <c r="G250" s="59"/>
      <c r="H250" s="26"/>
      <c r="I250" s="26"/>
      <c r="J250" s="26"/>
      <c r="K250" s="26"/>
      <c r="L250" s="122">
        <f>L246-L247-L248-L249</f>
        <v>6360215</v>
      </c>
      <c r="M250" s="19"/>
    </row>
    <row r="251" spans="2:13" ht="15">
      <c r="B251" s="92"/>
      <c r="C251" s="20"/>
      <c r="D251" s="61"/>
      <c r="E251" s="29"/>
      <c r="F251" s="29"/>
      <c r="G251" s="1185" t="s">
        <v>219</v>
      </c>
      <c r="H251" s="1185"/>
      <c r="I251" s="29"/>
      <c r="J251" s="141" t="s">
        <v>584</v>
      </c>
      <c r="K251" s="29"/>
      <c r="L251" s="29"/>
      <c r="M251" s="19"/>
    </row>
    <row r="252" spans="2:13" ht="15" thickBot="1">
      <c r="B252" s="92"/>
      <c r="C252" s="20"/>
      <c r="D252" s="61"/>
      <c r="F252" s="29"/>
      <c r="G252" s="257" t="s">
        <v>583</v>
      </c>
      <c r="H252" s="257" t="s">
        <v>585</v>
      </c>
      <c r="I252" s="29"/>
      <c r="J252" s="1074" t="s">
        <v>1033</v>
      </c>
      <c r="K252" s="29"/>
      <c r="L252" s="257" t="s">
        <v>586</v>
      </c>
      <c r="M252" s="19"/>
    </row>
    <row r="253" spans="2:13" ht="15">
      <c r="B253" s="92">
        <f>B250+1</f>
        <v>336</v>
      </c>
      <c r="C253" s="20"/>
      <c r="D253" s="61" t="str">
        <f>"  Long Term Debt   Worksheet L, ln "&amp;'WS L Cost of Debt'!A51&amp;", col. "&amp;'WS L Cost of Debt'!C8&amp;")"</f>
        <v>  Long Term Debt   Worksheet L, ln 34, col. (B))</v>
      </c>
      <c r="F253" s="291" t="s">
        <v>198</v>
      </c>
      <c r="G253" s="1008">
        <f>'WS L Cost of Debt'!C51</f>
        <v>4000000</v>
      </c>
      <c r="H253" s="810">
        <f>IF($G$256=0,0,G253/$G$256)</f>
        <v>0.3860923735656065</v>
      </c>
      <c r="I253" s="811"/>
      <c r="J253" s="810">
        <f>IF(G253=0,0,L243/G253)</f>
        <v>0.04052675</v>
      </c>
      <c r="K253" s="15"/>
      <c r="L253" s="812">
        <f>H253*J253</f>
        <v>0.01564706910039994</v>
      </c>
      <c r="M253" s="19"/>
    </row>
    <row r="254" spans="2:13" ht="15">
      <c r="B254" s="92">
        <f>B253+1</f>
        <v>337</v>
      </c>
      <c r="C254" s="20"/>
      <c r="D254" s="61" t="str">
        <f>"  Preferred Stock (ln "&amp;B247&amp;")"</f>
        <v>  Preferred Stock (ln 332)</v>
      </c>
      <c r="F254" s="15"/>
      <c r="G254" s="122">
        <f>L247</f>
        <v>0</v>
      </c>
      <c r="H254" s="810">
        <f>IF($G$256=0,0,G254/$G$256)</f>
        <v>0</v>
      </c>
      <c r="I254" s="811"/>
      <c r="J254" s="810">
        <f>IF(G254=0,0,L244/G254)</f>
        <v>0</v>
      </c>
      <c r="K254" s="15"/>
      <c r="L254" s="813">
        <f>H254*J254</f>
        <v>0</v>
      </c>
      <c r="M254" s="19"/>
    </row>
    <row r="255" spans="2:13" ht="15" thickBot="1">
      <c r="B255" s="92">
        <f>B254+1</f>
        <v>338</v>
      </c>
      <c r="C255" s="20"/>
      <c r="D255" s="61" t="str">
        <f>"  Common Stock (ln "&amp;B250&amp;")"</f>
        <v>  Common Stock (ln 335)</v>
      </c>
      <c r="F255" s="15"/>
      <c r="G255" s="123">
        <f>L250</f>
        <v>6360215</v>
      </c>
      <c r="H255" s="1010">
        <f>IF($G$256=0,0,G255/$G$256)</f>
        <v>0.6139076264343934</v>
      </c>
      <c r="I255" s="811"/>
      <c r="J255" s="300">
        <f>'Historic TCOS'!J272</f>
        <v>0.1149</v>
      </c>
      <c r="K255" s="15"/>
      <c r="L255" s="814">
        <f>H255*J255</f>
        <v>0.07053798627731181</v>
      </c>
      <c r="M255" s="19"/>
    </row>
    <row r="256" spans="2:13" ht="15">
      <c r="B256" s="92">
        <f>B255+1</f>
        <v>339</v>
      </c>
      <c r="C256" s="20"/>
      <c r="D256" s="61" t="str">
        <f>" Total (Sum lns "&amp;B253&amp;" to "&amp;B255&amp;")"</f>
        <v> Total (Sum lns 336 to 338)</v>
      </c>
      <c r="F256" s="15"/>
      <c r="G256" s="122">
        <f>SUM(G253:G255)</f>
        <v>10360215</v>
      </c>
      <c r="H256" s="1071">
        <f>SUM(H253:H255)</f>
        <v>1</v>
      </c>
      <c r="I256" s="29"/>
      <c r="J256" s="815"/>
      <c r="K256" s="258" t="s">
        <v>497</v>
      </c>
      <c r="L256" s="816">
        <f>SUM(L253:L255)</f>
        <v>0.08618505537771175</v>
      </c>
      <c r="M256" s="19"/>
    </row>
    <row r="257" spans="2:13" ht="15">
      <c r="B257" s="92"/>
      <c r="C257" s="20"/>
      <c r="D257" s="42"/>
      <c r="E257" s="29"/>
      <c r="F257" s="29"/>
      <c r="G257" s="29"/>
      <c r="H257" s="29"/>
      <c r="I257" s="32"/>
      <c r="J257" s="19"/>
      <c r="K257" s="19"/>
      <c r="L257" s="19"/>
      <c r="M257" s="19"/>
    </row>
    <row r="258" spans="2:13" ht="15">
      <c r="B258" s="92"/>
      <c r="C258" s="20"/>
      <c r="D258" s="951" t="s">
        <v>103</v>
      </c>
      <c r="E258" s="125"/>
      <c r="F258" s="19"/>
      <c r="G258" s="13"/>
      <c r="H258" s="19"/>
      <c r="I258" s="19"/>
      <c r="J258" s="19"/>
      <c r="K258" s="39"/>
      <c r="L258" s="81"/>
      <c r="M258" s="19"/>
    </row>
    <row r="259" spans="2:13" ht="15" thickBot="1">
      <c r="B259" s="92">
        <f>B256+1</f>
        <v>340</v>
      </c>
      <c r="C259" s="80"/>
      <c r="D259" s="61" t="s">
        <v>658</v>
      </c>
      <c r="E259" s="29"/>
      <c r="F259" s="29"/>
      <c r="G259" s="29"/>
      <c r="H259" s="29"/>
      <c r="I259" s="29"/>
      <c r="J259" s="29"/>
      <c r="K259" s="29"/>
      <c r="L259" s="211" t="s">
        <v>583</v>
      </c>
      <c r="M259" s="19"/>
    </row>
    <row r="260" spans="2:13" ht="15">
      <c r="B260" s="92">
        <f aca="true" t="shared" si="17" ref="B260:B267">+B259+1</f>
        <v>341</v>
      </c>
      <c r="C260" s="80"/>
      <c r="D260" s="29" t="s">
        <v>694</v>
      </c>
      <c r="E260" s="16" t="str">
        <f>"(Worksheet Q, ln. "&amp;'WS Q Cap Structure'!A23&amp;")"</f>
        <v>(Worksheet Q, ln. 14)</v>
      </c>
      <c r="F260" s="29"/>
      <c r="G260" s="29"/>
      <c r="H260" s="29"/>
      <c r="I260" s="29"/>
      <c r="J260" s="29"/>
      <c r="K260" s="29"/>
      <c r="L260" s="122">
        <f>'WS Q Cap Structure'!J23</f>
        <v>467649989</v>
      </c>
      <c r="M260" s="19"/>
    </row>
    <row r="261" spans="2:13" ht="15">
      <c r="B261" s="92">
        <f t="shared" si="17"/>
        <v>342</v>
      </c>
      <c r="C261" s="80"/>
      <c r="D261" s="29" t="s">
        <v>695</v>
      </c>
      <c r="E261" s="16" t="str">
        <f>"(Worksheet Q, ln. "&amp;'WS Q Cap Structure'!A51&amp;")"</f>
        <v>(Worksheet Q, ln. 36)</v>
      </c>
      <c r="F261" s="29"/>
      <c r="G261" s="29"/>
      <c r="H261" s="29"/>
      <c r="I261" s="29"/>
      <c r="J261" s="29"/>
      <c r="K261" s="29"/>
      <c r="L261" s="122">
        <f>'WS Q Cap Structure'!J51</f>
        <v>0</v>
      </c>
      <c r="M261" s="19"/>
    </row>
    <row r="262" spans="2:13" ht="15">
      <c r="B262" s="92">
        <f t="shared" si="17"/>
        <v>343</v>
      </c>
      <c r="C262" s="80"/>
      <c r="D262" s="290" t="s">
        <v>837</v>
      </c>
      <c r="E262" s="29"/>
      <c r="F262" s="29"/>
      <c r="G262" s="29"/>
      <c r="H262" s="146"/>
      <c r="I262" s="29"/>
      <c r="J262" s="29"/>
      <c r="K262" s="29"/>
      <c r="L262" s="122"/>
      <c r="M262" s="19"/>
    </row>
    <row r="263" spans="2:13" ht="15">
      <c r="B263" s="92">
        <f t="shared" si="17"/>
        <v>344</v>
      </c>
      <c r="C263" s="80"/>
      <c r="D263" s="29" t="s">
        <v>838</v>
      </c>
      <c r="E263" s="16" t="str">
        <f>"(Worksheet Q, ln. "&amp;'WS Q Cap Structure'!A54&amp;")"</f>
        <v>(Worksheet Q, ln. 37)</v>
      </c>
      <c r="F263" s="29"/>
      <c r="G263" s="26"/>
      <c r="H263" s="255"/>
      <c r="I263" s="29"/>
      <c r="J263" s="29"/>
      <c r="K263" s="29"/>
      <c r="L263" s="1155">
        <f>'WS Q Cap Structure'!J54</f>
        <v>8094481064</v>
      </c>
      <c r="M263" s="19"/>
    </row>
    <row r="264" spans="2:13" ht="15">
      <c r="B264" s="92">
        <f t="shared" si="17"/>
        <v>345</v>
      </c>
      <c r="C264" s="80"/>
      <c r="D264" s="29" t="s">
        <v>1018</v>
      </c>
      <c r="E264" s="16" t="str">
        <f>"(Worksheet Q, ln. "&amp;'WS Q Cap Structure'!A55&amp;")"</f>
        <v>(Worksheet Q, ln. 38)</v>
      </c>
      <c r="F264" s="29"/>
      <c r="G264" s="29"/>
      <c r="H264" s="255"/>
      <c r="I264" s="29"/>
      <c r="J264" s="29"/>
      <c r="K264" s="29"/>
      <c r="L264" s="1155">
        <f>'WS Q Cap Structure'!J55</f>
        <v>0</v>
      </c>
      <c r="M264" s="19"/>
    </row>
    <row r="265" spans="2:13" ht="15">
      <c r="B265" s="92">
        <f>+B264+1</f>
        <v>346</v>
      </c>
      <c r="C265" s="80"/>
      <c r="D265" s="29" t="s">
        <v>1010</v>
      </c>
      <c r="E265" s="16" t="str">
        <f>"(Worksheet Q, ln. "&amp;'WS Q Cap Structure'!A56&amp;")"</f>
        <v>(Worksheet Q, ln. 39)</v>
      </c>
      <c r="F265" s="29"/>
      <c r="G265" s="29"/>
      <c r="H265" s="255"/>
      <c r="I265" s="29"/>
      <c r="J265" s="29"/>
      <c r="K265" s="29"/>
      <c r="L265" s="1155">
        <f>'WS Q Cap Structure'!J56</f>
        <v>6532329</v>
      </c>
      <c r="M265" s="19"/>
    </row>
    <row r="266" spans="2:13" ht="15" thickBot="1">
      <c r="B266" s="92">
        <f t="shared" si="17"/>
        <v>347</v>
      </c>
      <c r="C266" s="80"/>
      <c r="D266" s="29" t="s">
        <v>1016</v>
      </c>
      <c r="E266" s="16" t="str">
        <f>"(Worksheet Q, ln. "&amp;'WS Q Cap Structure'!A57&amp;")"</f>
        <v>(Worksheet Q, ln. 40)</v>
      </c>
      <c r="F266" s="29"/>
      <c r="G266" s="29"/>
      <c r="H266" s="255"/>
      <c r="I266" s="29"/>
      <c r="J266" s="300"/>
      <c r="K266" s="29"/>
      <c r="L266" s="1156">
        <f>'WS Q Cap Structure'!J57</f>
        <v>-10289353</v>
      </c>
      <c r="M266" s="19"/>
    </row>
    <row r="267" spans="2:13" ht="15">
      <c r="B267" s="92">
        <f t="shared" si="17"/>
        <v>348</v>
      </c>
      <c r="C267" s="80"/>
      <c r="D267" s="16" t="s">
        <v>839</v>
      </c>
      <c r="E267" s="29" t="str">
        <f>"(ln "&amp;B263&amp;" - ln "&amp;B264&amp;" - ln "&amp;B265&amp;" - ln "&amp;B266&amp;")"</f>
        <v>(ln 344 - ln 345 - ln 346 - ln 347)</v>
      </c>
      <c r="F267" s="256"/>
      <c r="G267" s="59"/>
      <c r="H267" s="26"/>
      <c r="I267" s="26"/>
      <c r="J267" s="26"/>
      <c r="K267" s="26"/>
      <c r="L267" s="122">
        <f>+L263-L264-L265-L266</f>
        <v>8098238088</v>
      </c>
      <c r="M267" s="19"/>
    </row>
    <row r="268" spans="2:13" ht="15">
      <c r="B268" s="92"/>
      <c r="C268" s="80"/>
      <c r="D268" s="61"/>
      <c r="E268" s="29"/>
      <c r="F268" s="29"/>
      <c r="G268" s="1174"/>
      <c r="H268" s="1174"/>
      <c r="I268" s="502"/>
      <c r="K268" s="29"/>
      <c r="L268" s="29"/>
      <c r="M268" s="19"/>
    </row>
    <row r="269" spans="2:21" ht="15" thickBot="1">
      <c r="B269" s="92">
        <f>+B267+1</f>
        <v>349</v>
      </c>
      <c r="C269" s="80"/>
      <c r="D269" s="61"/>
      <c r="G269" s="257" t="s">
        <v>585</v>
      </c>
      <c r="H269" s="257" t="s">
        <v>583</v>
      </c>
      <c r="I269" s="502"/>
      <c r="J269" s="809" t="s">
        <v>584</v>
      </c>
      <c r="K269" s="29"/>
      <c r="L269" s="257" t="s">
        <v>586</v>
      </c>
      <c r="M269" s="19"/>
      <c r="N269" s="33"/>
      <c r="O269" s="33"/>
      <c r="P269" s="33"/>
      <c r="Q269" s="33"/>
      <c r="R269" s="33"/>
      <c r="S269" s="33"/>
      <c r="T269" s="33"/>
      <c r="U269" s="33"/>
    </row>
    <row r="270" spans="2:21" ht="15">
      <c r="B270" s="92">
        <f>+B269+1</f>
        <v>350</v>
      </c>
      <c r="C270" s="80"/>
      <c r="D270" s="61" t="str">
        <f>"  Long Term Debt   (Worksheet Q, ln "&amp;'WS Q Cap Structure'!A72&amp;")"</f>
        <v>  Long Term Debt   (Worksheet Q, ln 50)</v>
      </c>
      <c r="G270" s="810">
        <f>'WS Q Cap Structure'!J72</f>
        <v>0.5124542119171184</v>
      </c>
      <c r="H270" s="122">
        <f>$H$273*G270</f>
        <v>8511972247</v>
      </c>
      <c r="I270" s="729"/>
      <c r="J270" s="300">
        <f>+L260/H270</f>
        <v>0.0549402624244717</v>
      </c>
      <c r="K270" s="15"/>
      <c r="L270" s="812">
        <f>+G270*J270</f>
        <v>0.028154368883252314</v>
      </c>
      <c r="M270" s="83"/>
      <c r="N270" s="33"/>
      <c r="O270" s="33"/>
      <c r="P270" s="33"/>
      <c r="Q270" s="33"/>
      <c r="R270" s="33"/>
      <c r="S270" s="33"/>
      <c r="T270" s="33"/>
      <c r="U270" s="33"/>
    </row>
    <row r="271" spans="2:13" ht="15">
      <c r="B271" s="92">
        <f>+B270+1</f>
        <v>351</v>
      </c>
      <c r="C271" s="80"/>
      <c r="D271" s="61" t="str">
        <f>"  Preferred Stock (Worksheet Q, ln "&amp;'WS Q Cap Structure'!A73&amp;")"</f>
        <v>  Preferred Stock (Worksheet Q, ln 51)</v>
      </c>
      <c r="G271" s="810">
        <f>'WS Q Cap Structure'!J73</f>
        <v>0</v>
      </c>
      <c r="H271" s="122">
        <f>$H$273*G271</f>
        <v>0</v>
      </c>
      <c r="I271" s="729"/>
      <c r="J271" s="300">
        <f>IF(L261=0,0,+L261/H271)</f>
        <v>0</v>
      </c>
      <c r="K271" s="15"/>
      <c r="L271" s="813">
        <f>+G271*J271</f>
        <v>0</v>
      </c>
      <c r="M271" s="19"/>
    </row>
    <row r="272" spans="2:13" ht="15" thickBot="1">
      <c r="B272" s="92">
        <f>+B271+1</f>
        <v>352</v>
      </c>
      <c r="C272" s="80"/>
      <c r="D272" s="61" t="str">
        <f>"  Common Stock (Worksheet Q, ln "&amp;'WS Q Cap Structure'!A74&amp;")"</f>
        <v>  Common Stock (Worksheet Q, ln 52)</v>
      </c>
      <c r="G272" s="922">
        <f>'WS Q Cap Structure'!J74</f>
        <v>0.4875457880828816</v>
      </c>
      <c r="H272" s="123">
        <f>$H$273*G272</f>
        <v>8098238088</v>
      </c>
      <c r="I272" s="729"/>
      <c r="J272" s="1157">
        <v>0.1149</v>
      </c>
      <c r="K272" s="15"/>
      <c r="L272" s="814">
        <f>+G272*J272</f>
        <v>0.0560190110507231</v>
      </c>
      <c r="M272" s="19"/>
    </row>
    <row r="273" spans="2:13" ht="15">
      <c r="B273" s="92">
        <f>+B272+1</f>
        <v>353</v>
      </c>
      <c r="C273" s="80"/>
      <c r="D273" s="61" t="str">
        <f>" Total (Worksheet Q, ln "&amp;'WS Q Cap Structure'!A64&amp;")"</f>
        <v> Total (Worksheet Q, ln 45)</v>
      </c>
      <c r="H273" s="122">
        <f>'WS Q Cap Structure'!J64</f>
        <v>16610210335</v>
      </c>
      <c r="I273" s="502"/>
      <c r="J273" s="731"/>
      <c r="K273" s="258" t="s">
        <v>497</v>
      </c>
      <c r="L273" s="816">
        <f>SUM(L270:L272)</f>
        <v>0.08417337993397542</v>
      </c>
      <c r="M273" s="84"/>
    </row>
    <row r="274" spans="2:21" ht="15">
      <c r="B274" s="92"/>
      <c r="C274" s="707"/>
      <c r="D274" s="102"/>
      <c r="E274" s="255"/>
      <c r="F274" s="146"/>
      <c r="G274" s="146"/>
      <c r="H274" s="146"/>
      <c r="I274" s="146"/>
      <c r="J274" s="139"/>
      <c r="K274" s="139"/>
      <c r="L274" s="139"/>
      <c r="M274" s="7"/>
      <c r="N274" s="86"/>
      <c r="O274" s="86"/>
      <c r="P274" s="86"/>
      <c r="Q274" s="86"/>
      <c r="R274" s="86"/>
      <c r="S274" s="86"/>
      <c r="T274" s="86"/>
      <c r="U274" s="86"/>
    </row>
    <row r="275" spans="2:21" ht="15">
      <c r="B275" s="92"/>
      <c r="C275" s="707"/>
      <c r="D275" s="707"/>
      <c r="E275"/>
      <c r="F275"/>
      <c r="G275"/>
      <c r="H275"/>
      <c r="I275"/>
      <c r="J275" s="19"/>
      <c r="K275" s="18"/>
      <c r="L275" s="19"/>
      <c r="M275" s="18"/>
      <c r="N275" s="86"/>
      <c r="O275" s="86"/>
      <c r="P275" s="86"/>
      <c r="Q275" s="86"/>
      <c r="R275" s="86"/>
      <c r="S275" s="86"/>
      <c r="T275" s="86"/>
      <c r="U275" s="86"/>
    </row>
    <row r="276" spans="2:21" ht="15">
      <c r="B276" s="639"/>
      <c r="C276" s="20"/>
      <c r="D276" s="66"/>
      <c r="E276" s="66"/>
      <c r="F276" s="23" t="str">
        <f>F214</f>
        <v>AEPTCo subsidiaries in PJM</v>
      </c>
      <c r="G276" s="67"/>
      <c r="H276" s="19"/>
      <c r="I276" s="19"/>
      <c r="J276" s="19"/>
      <c r="K276" s="18"/>
      <c r="L276" s="19"/>
      <c r="M276" s="145"/>
      <c r="N276" s="86"/>
      <c r="O276" s="86"/>
      <c r="P276" s="86"/>
      <c r="Q276" s="86"/>
      <c r="R276" s="86"/>
      <c r="S276" s="86"/>
      <c r="T276" s="86"/>
      <c r="U276" s="86"/>
    </row>
    <row r="277" spans="2:21" ht="15">
      <c r="B277" s="639"/>
      <c r="C277" s="20"/>
      <c r="D277" s="68"/>
      <c r="E277" s="20"/>
      <c r="F277" s="23" t="str">
        <f>F215</f>
        <v>Transmission Cost of Service Formula Rate</v>
      </c>
      <c r="G277" s="19"/>
      <c r="H277" s="19"/>
      <c r="I277" s="19"/>
      <c r="J277" s="19"/>
      <c r="K277" s="18"/>
      <c r="L277" s="69"/>
      <c r="M277" s="130"/>
      <c r="N277" s="86"/>
      <c r="O277" s="86"/>
      <c r="P277" s="86"/>
      <c r="Q277" s="86"/>
      <c r="R277" s="86"/>
      <c r="S277" s="86"/>
      <c r="T277" s="86"/>
      <c r="U277" s="86"/>
    </row>
    <row r="278" spans="2:21" ht="15">
      <c r="B278" s="639"/>
      <c r="C278" s="20"/>
      <c r="D278" s="68"/>
      <c r="E278" s="38"/>
      <c r="F278" s="23" t="str">
        <f>F216</f>
        <v>Utilizing  Historic Cost Data for 2014 with Year-End Rate Base Balances</v>
      </c>
      <c r="G278" s="19"/>
      <c r="H278" s="19"/>
      <c r="I278" s="19"/>
      <c r="J278" s="19"/>
      <c r="K278" s="18"/>
      <c r="L278" s="69"/>
      <c r="M278" s="145"/>
      <c r="N278" s="86"/>
      <c r="O278" s="86"/>
      <c r="P278" s="86"/>
      <c r="Q278" s="86"/>
      <c r="R278" s="86"/>
      <c r="S278" s="86"/>
      <c r="T278" s="86"/>
      <c r="U278" s="86"/>
    </row>
    <row r="279" spans="2:21" ht="15">
      <c r="B279" s="92"/>
      <c r="C279" s="20"/>
      <c r="D279" s="68"/>
      <c r="E279" s="38"/>
      <c r="F279" s="23"/>
      <c r="G279" s="19"/>
      <c r="H279" s="19"/>
      <c r="I279" s="19"/>
      <c r="J279" s="19"/>
      <c r="K279" s="18"/>
      <c r="L279" s="69"/>
      <c r="M279" s="15"/>
      <c r="N279" s="86"/>
      <c r="O279" s="86"/>
      <c r="P279" s="86"/>
      <c r="Q279" s="86"/>
      <c r="R279" s="86"/>
      <c r="S279" s="86"/>
      <c r="T279" s="86"/>
      <c r="U279" s="86"/>
    </row>
    <row r="280" spans="2:21" ht="15">
      <c r="B280" s="92"/>
      <c r="C280" s="20"/>
      <c r="D280" s="68"/>
      <c r="E280" s="38"/>
      <c r="F280" s="23" t="str">
        <f>F218</f>
        <v>AEP KENTUCKY TRANSMISSION COMPANY</v>
      </c>
      <c r="G280" s="19"/>
      <c r="H280" s="19"/>
      <c r="I280" s="19"/>
      <c r="J280" s="19"/>
      <c r="K280" s="18"/>
      <c r="L280" s="69"/>
      <c r="M280" s="15"/>
      <c r="N280" s="86"/>
      <c r="O280" s="86"/>
      <c r="P280" s="86"/>
      <c r="Q280" s="86"/>
      <c r="R280" s="86"/>
      <c r="S280" s="86"/>
      <c r="T280" s="86"/>
      <c r="U280" s="86"/>
    </row>
    <row r="281" spans="2:21" ht="15">
      <c r="B281" s="92"/>
      <c r="C281" s="20"/>
      <c r="D281" s="68"/>
      <c r="E281" s="38"/>
      <c r="F281" s="23"/>
      <c r="G281" s="19"/>
      <c r="H281" s="19"/>
      <c r="I281" s="19"/>
      <c r="J281" s="19"/>
      <c r="K281" s="18"/>
      <c r="L281" s="69"/>
      <c r="M281" s="15"/>
      <c r="N281" s="86"/>
      <c r="O281" s="86"/>
      <c r="P281" s="86"/>
      <c r="Q281" s="86"/>
      <c r="R281" s="86"/>
      <c r="S281" s="86"/>
      <c r="T281" s="86"/>
      <c r="U281" s="86"/>
    </row>
    <row r="282" spans="2:21" ht="15">
      <c r="B282" s="199" t="s">
        <v>615</v>
      </c>
      <c r="C282" s="25"/>
      <c r="D282" s="57"/>
      <c r="E282" s="26"/>
      <c r="F282" s="199" t="s">
        <v>614</v>
      </c>
      <c r="G282" s="29"/>
      <c r="H282" s="29"/>
      <c r="I282" s="29"/>
      <c r="J282" s="29"/>
      <c r="K282" s="26"/>
      <c r="L282" s="29"/>
      <c r="M282" s="15"/>
      <c r="N282" s="86"/>
      <c r="O282" s="86"/>
      <c r="P282" s="86"/>
      <c r="Q282" s="86"/>
      <c r="R282" s="86"/>
      <c r="S282" s="86"/>
      <c r="T282" s="86"/>
      <c r="U282" s="86"/>
    </row>
    <row r="283" spans="3:21" ht="15">
      <c r="C283" s="25"/>
      <c r="L283" s="69"/>
      <c r="M283" s="15"/>
      <c r="N283" s="86"/>
      <c r="O283" s="86"/>
      <c r="P283" s="86"/>
      <c r="Q283" s="86"/>
      <c r="R283" s="86"/>
      <c r="S283" s="86"/>
      <c r="T283" s="86"/>
      <c r="U283" s="86"/>
    </row>
    <row r="284" spans="2:21" ht="15">
      <c r="B284" s="92"/>
      <c r="C284" s="20"/>
      <c r="D284" s="17" t="s">
        <v>367</v>
      </c>
      <c r="E284" s="80"/>
      <c r="F284" s="80"/>
      <c r="G284" s="29"/>
      <c r="H284" s="29"/>
      <c r="I284" s="29"/>
      <c r="J284" s="29"/>
      <c r="K284" s="26"/>
      <c r="L284" s="29"/>
      <c r="M284" s="26"/>
      <c r="N284" s="86"/>
      <c r="O284" s="86"/>
      <c r="P284" s="86"/>
      <c r="Q284" s="86"/>
      <c r="R284" s="86"/>
      <c r="S284" s="86"/>
      <c r="T284" s="86"/>
      <c r="U284" s="86"/>
    </row>
    <row r="285" spans="2:21" ht="15">
      <c r="B285" s="16"/>
      <c r="D285" s="57"/>
      <c r="E285" s="26"/>
      <c r="F285" s="26"/>
      <c r="G285" s="29"/>
      <c r="H285" s="29"/>
      <c r="I285" s="29"/>
      <c r="J285" s="29"/>
      <c r="K285" s="26"/>
      <c r="L285" s="29"/>
      <c r="M285" s="26"/>
      <c r="N285" s="86"/>
      <c r="O285" s="86"/>
      <c r="P285" s="86"/>
      <c r="Q285" s="86"/>
      <c r="R285" s="86"/>
      <c r="S285" s="86"/>
      <c r="T285" s="86"/>
      <c r="U285" s="86"/>
    </row>
    <row r="286" spans="2:21" ht="15">
      <c r="B286" s="16"/>
      <c r="D286" s="57"/>
      <c r="E286" s="26"/>
      <c r="F286" s="26"/>
      <c r="G286" s="29"/>
      <c r="H286" s="29"/>
      <c r="I286" s="29"/>
      <c r="J286" s="29"/>
      <c r="K286" s="26"/>
      <c r="L286" s="29"/>
      <c r="M286" s="26"/>
      <c r="N286" s="86"/>
      <c r="O286" s="86"/>
      <c r="P286" s="86"/>
      <c r="Q286" s="86"/>
      <c r="R286" s="86"/>
      <c r="S286" s="86"/>
      <c r="T286" s="86"/>
      <c r="U286" s="86"/>
    </row>
    <row r="287" spans="2:21" ht="15">
      <c r="B287" s="98" t="s">
        <v>587</v>
      </c>
      <c r="C287" s="25"/>
      <c r="D287" s="57" t="s">
        <v>246</v>
      </c>
      <c r="E287" s="26"/>
      <c r="F287" s="26"/>
      <c r="G287" s="29"/>
      <c r="H287" s="29"/>
      <c r="I287" s="29"/>
      <c r="J287" s="29"/>
      <c r="K287" s="26"/>
      <c r="L287" s="29"/>
      <c r="M287" s="26"/>
      <c r="N287" s="86"/>
      <c r="O287" s="86"/>
      <c r="P287" s="86"/>
      <c r="Q287" s="86"/>
      <c r="R287" s="86"/>
      <c r="S287" s="86"/>
      <c r="T287" s="86"/>
      <c r="U287" s="86"/>
    </row>
    <row r="288" spans="2:21" ht="15">
      <c r="B288" s="98"/>
      <c r="C288" s="85"/>
      <c r="D288" s="57" t="s">
        <v>1019</v>
      </c>
      <c r="E288" s="26"/>
      <c r="F288" s="26"/>
      <c r="G288" s="26"/>
      <c r="H288" s="26"/>
      <c r="I288" s="26"/>
      <c r="J288" s="26"/>
      <c r="K288" s="26"/>
      <c r="L288" s="26"/>
      <c r="M288" s="26"/>
      <c r="N288" s="86"/>
      <c r="O288" s="86"/>
      <c r="P288" s="86"/>
      <c r="Q288" s="86"/>
      <c r="R288" s="86"/>
      <c r="S288" s="86"/>
      <c r="T288" s="86"/>
      <c r="U288" s="86"/>
    </row>
    <row r="289" spans="2:21" ht="15">
      <c r="B289" s="99"/>
      <c r="C289" s="15"/>
      <c r="D289" s="16" t="s">
        <v>1020</v>
      </c>
      <c r="E289" s="90"/>
      <c r="F289" s="90"/>
      <c r="G289" s="26"/>
      <c r="H289" s="26"/>
      <c r="I289" s="26"/>
      <c r="J289" s="26"/>
      <c r="K289" s="26"/>
      <c r="L289" s="26"/>
      <c r="M289" s="26"/>
      <c r="N289" s="86"/>
      <c r="O289" s="86"/>
      <c r="P289" s="86"/>
      <c r="Q289" s="86"/>
      <c r="R289" s="86"/>
      <c r="S289" s="86"/>
      <c r="T289" s="86"/>
      <c r="U289" s="86"/>
    </row>
    <row r="290" spans="2:21" ht="15">
      <c r="B290" s="99"/>
      <c r="C290" s="15"/>
      <c r="D290" s="57" t="s">
        <v>257</v>
      </c>
      <c r="E290" s="26"/>
      <c r="F290" s="26"/>
      <c r="G290" s="26"/>
      <c r="H290" s="26"/>
      <c r="I290" s="26"/>
      <c r="J290" s="26"/>
      <c r="K290" s="26"/>
      <c r="L290" s="26"/>
      <c r="M290" s="26"/>
      <c r="N290" s="86"/>
      <c r="O290" s="86"/>
      <c r="P290" s="86"/>
      <c r="Q290" s="86"/>
      <c r="R290" s="86"/>
      <c r="S290" s="86"/>
      <c r="T290" s="86"/>
      <c r="U290" s="86"/>
    </row>
    <row r="291" spans="2:21" ht="15">
      <c r="B291" s="96"/>
      <c r="C291" s="80"/>
      <c r="D291" s="57" t="s">
        <v>258</v>
      </c>
      <c r="E291" s="26"/>
      <c r="F291" s="26"/>
      <c r="G291" s="26"/>
      <c r="H291" s="26"/>
      <c r="I291" s="26"/>
      <c r="J291" s="26"/>
      <c r="K291" s="26"/>
      <c r="L291" s="26"/>
      <c r="M291" s="26"/>
      <c r="N291" s="86"/>
      <c r="O291" s="86"/>
      <c r="P291" s="86"/>
      <c r="Q291" s="86"/>
      <c r="R291" s="86"/>
      <c r="S291" s="86"/>
      <c r="T291" s="86"/>
      <c r="U291" s="86"/>
    </row>
    <row r="292" spans="2:21" ht="15">
      <c r="B292" s="96"/>
      <c r="C292" s="80"/>
      <c r="D292" s="57" t="s">
        <v>1021</v>
      </c>
      <c r="E292" s="26"/>
      <c r="F292" s="26"/>
      <c r="G292" s="26"/>
      <c r="H292" s="26"/>
      <c r="I292" s="26"/>
      <c r="J292" s="26"/>
      <c r="K292" s="26"/>
      <c r="L292" s="26"/>
      <c r="M292" s="26"/>
      <c r="N292" s="86"/>
      <c r="O292" s="86"/>
      <c r="P292" s="86"/>
      <c r="Q292" s="86"/>
      <c r="R292" s="86"/>
      <c r="S292" s="86"/>
      <c r="T292" s="86"/>
      <c r="U292" s="86"/>
    </row>
    <row r="293" spans="2:21" ht="15">
      <c r="B293" s="96"/>
      <c r="C293" s="80"/>
      <c r="D293" s="57" t="s">
        <v>1022</v>
      </c>
      <c r="E293" s="26"/>
      <c r="F293" s="26"/>
      <c r="G293" s="26"/>
      <c r="H293" s="26"/>
      <c r="I293" s="26"/>
      <c r="J293" s="26"/>
      <c r="K293" s="26"/>
      <c r="L293" s="26"/>
      <c r="M293" s="26"/>
      <c r="N293" s="86"/>
      <c r="O293" s="86"/>
      <c r="P293" s="86"/>
      <c r="Q293" s="86"/>
      <c r="R293" s="86"/>
      <c r="S293" s="86"/>
      <c r="T293" s="86"/>
      <c r="U293" s="86"/>
    </row>
    <row r="294" spans="2:21" ht="15">
      <c r="B294" s="96"/>
      <c r="C294" s="80"/>
      <c r="D294" s="57" t="s">
        <v>266</v>
      </c>
      <c r="E294" s="26"/>
      <c r="F294" s="26"/>
      <c r="G294" s="26"/>
      <c r="H294" s="26"/>
      <c r="I294" s="26"/>
      <c r="J294" s="26"/>
      <c r="K294" s="26"/>
      <c r="L294" s="26"/>
      <c r="M294" s="26"/>
      <c r="N294" s="86"/>
      <c r="O294" s="86"/>
      <c r="P294" s="86"/>
      <c r="Q294" s="86"/>
      <c r="R294" s="86"/>
      <c r="S294" s="86"/>
      <c r="T294" s="86"/>
      <c r="U294" s="86"/>
    </row>
    <row r="295" spans="2:21" ht="15">
      <c r="B295" s="96"/>
      <c r="C295" s="80"/>
      <c r="D295" s="139"/>
      <c r="E295" s="26"/>
      <c r="F295" s="26"/>
      <c r="G295" s="26"/>
      <c r="H295" s="26"/>
      <c r="I295" s="26"/>
      <c r="J295" s="26"/>
      <c r="K295" s="26"/>
      <c r="L295" s="57"/>
      <c r="M295" s="26"/>
      <c r="N295" s="86"/>
      <c r="O295" s="86"/>
      <c r="P295" s="86"/>
      <c r="Q295" s="86"/>
      <c r="R295" s="86"/>
      <c r="S295" s="86"/>
      <c r="T295" s="86"/>
      <c r="U295" s="86"/>
    </row>
    <row r="296" spans="2:21" ht="15" customHeight="1">
      <c r="B296" s="96" t="s">
        <v>588</v>
      </c>
      <c r="C296" s="80"/>
      <c r="D296" s="1183" t="s">
        <v>68</v>
      </c>
      <c r="E296" s="1184"/>
      <c r="F296" s="1184"/>
      <c r="G296" s="1184"/>
      <c r="H296" s="1184"/>
      <c r="I296" s="1184"/>
      <c r="J296" s="1184"/>
      <c r="K296" s="1184"/>
      <c r="L296" s="57"/>
      <c r="M296" s="26"/>
      <c r="N296" s="86"/>
      <c r="O296" s="86"/>
      <c r="P296" s="86"/>
      <c r="Q296" s="86"/>
      <c r="R296" s="86"/>
      <c r="S296" s="86"/>
      <c r="T296" s="86"/>
      <c r="U296" s="86"/>
    </row>
    <row r="297" spans="2:21" ht="15">
      <c r="B297" s="96"/>
      <c r="C297" s="80"/>
      <c r="D297" s="1184"/>
      <c r="E297" s="1184"/>
      <c r="F297" s="1184"/>
      <c r="G297" s="1184"/>
      <c r="H297" s="1184"/>
      <c r="I297" s="1184"/>
      <c r="J297" s="1184"/>
      <c r="K297" s="1184"/>
      <c r="L297" s="57"/>
      <c r="M297" s="26"/>
      <c r="N297" s="86"/>
      <c r="O297" s="86"/>
      <c r="P297" s="86"/>
      <c r="Q297" s="86"/>
      <c r="R297" s="86"/>
      <c r="S297" s="86"/>
      <c r="T297" s="86"/>
      <c r="U297" s="86"/>
    </row>
    <row r="298" spans="5:21" ht="15">
      <c r="E298" s="26"/>
      <c r="F298" s="26"/>
      <c r="G298" s="26"/>
      <c r="H298" s="26"/>
      <c r="I298" s="26"/>
      <c r="J298" s="26"/>
      <c r="K298" s="26"/>
      <c r="L298" s="26"/>
      <c r="M298" s="26"/>
      <c r="N298" s="86"/>
      <c r="O298" s="86"/>
      <c r="P298" s="86"/>
      <c r="Q298" s="86"/>
      <c r="R298" s="86"/>
      <c r="S298" s="86"/>
      <c r="T298" s="86"/>
      <c r="U298" s="86"/>
    </row>
    <row r="299" spans="2:21" ht="15">
      <c r="B299" s="96" t="s">
        <v>589</v>
      </c>
      <c r="C299" s="80"/>
      <c r="D299" s="7" t="str">
        <f>"Transmission Plant balances in this study are historic as of December 31, "&amp;'Historic TCOS'!O1&amp;"."</f>
        <v>Transmission Plant balances in this study are historic as of December 31, 2014.</v>
      </c>
      <c r="E299" s="26"/>
      <c r="F299" s="26"/>
      <c r="G299" s="26"/>
      <c r="H299" s="26"/>
      <c r="I299" s="26"/>
      <c r="J299" s="26"/>
      <c r="K299" s="26"/>
      <c r="L299" s="26"/>
      <c r="M299" s="26"/>
      <c r="N299" s="86"/>
      <c r="O299" s="86"/>
      <c r="P299" s="86"/>
      <c r="Q299" s="86"/>
      <c r="R299" s="86"/>
      <c r="S299" s="86"/>
      <c r="T299" s="86"/>
      <c r="U299" s="86"/>
    </row>
    <row r="300" spans="2:21" ht="15">
      <c r="B300" s="96"/>
      <c r="C300" s="80"/>
      <c r="D300" s="7"/>
      <c r="E300" s="26"/>
      <c r="F300" s="26"/>
      <c r="G300" s="26"/>
      <c r="H300" s="26"/>
      <c r="I300" s="26"/>
      <c r="J300" s="26"/>
      <c r="K300" s="26"/>
      <c r="L300" s="26"/>
      <c r="M300" s="26"/>
      <c r="N300" s="86"/>
      <c r="O300" s="86"/>
      <c r="P300" s="86"/>
      <c r="Q300" s="86"/>
      <c r="R300" s="86"/>
      <c r="S300" s="86"/>
      <c r="T300" s="86"/>
      <c r="U300" s="86"/>
    </row>
    <row r="301" spans="2:21" ht="15">
      <c r="B301" s="96" t="s">
        <v>590</v>
      </c>
      <c r="C301" s="80"/>
      <c r="D301" s="57" t="s">
        <v>840</v>
      </c>
      <c r="E301" s="26"/>
      <c r="F301" s="26"/>
      <c r="G301" s="26"/>
      <c r="H301" s="26"/>
      <c r="I301" s="26"/>
      <c r="J301" s="26"/>
      <c r="K301" s="26"/>
      <c r="L301" s="26"/>
      <c r="M301" s="26"/>
      <c r="N301" s="86"/>
      <c r="O301" s="86"/>
      <c r="P301" s="57"/>
      <c r="Q301" s="57"/>
      <c r="R301" s="86"/>
      <c r="S301" s="86"/>
      <c r="T301" s="86"/>
      <c r="U301" s="86"/>
    </row>
    <row r="302" spans="2:21" ht="15">
      <c r="B302" s="96"/>
      <c r="C302" s="80"/>
      <c r="D302" s="57" t="s">
        <v>275</v>
      </c>
      <c r="E302" s="26"/>
      <c r="F302" s="26"/>
      <c r="G302" s="26"/>
      <c r="H302" s="26"/>
      <c r="I302" s="26"/>
      <c r="J302" s="26"/>
      <c r="K302" s="26"/>
      <c r="L302" s="26"/>
      <c r="M302" s="26"/>
      <c r="N302" s="86"/>
      <c r="O302" s="86"/>
      <c r="P302" s="57"/>
      <c r="Q302" s="57"/>
      <c r="R302" s="86"/>
      <c r="S302" s="86"/>
      <c r="T302" s="86"/>
      <c r="U302" s="86"/>
    </row>
    <row r="303" spans="2:21" ht="15">
      <c r="B303" s="96"/>
      <c r="C303" s="80"/>
      <c r="D303" s="57" t="s">
        <v>285</v>
      </c>
      <c r="E303" s="26"/>
      <c r="F303" s="26"/>
      <c r="G303" s="26"/>
      <c r="H303" s="26"/>
      <c r="I303" s="26"/>
      <c r="J303" s="26"/>
      <c r="K303" s="26"/>
      <c r="L303" s="71"/>
      <c r="M303" s="26"/>
      <c r="N303" s="86"/>
      <c r="O303" s="86"/>
      <c r="P303" s="57"/>
      <c r="Q303" s="57"/>
      <c r="R303" s="86"/>
      <c r="S303" s="86"/>
      <c r="T303" s="86"/>
      <c r="U303" s="86"/>
    </row>
    <row r="304" spans="2:21" ht="15">
      <c r="B304" s="96"/>
      <c r="C304" s="80"/>
      <c r="D304" s="57" t="s">
        <v>1008</v>
      </c>
      <c r="E304" s="26"/>
      <c r="F304" s="26"/>
      <c r="G304" s="26"/>
      <c r="H304" s="26"/>
      <c r="I304" s="26"/>
      <c r="J304" s="26"/>
      <c r="K304" s="26"/>
      <c r="L304" s="71"/>
      <c r="M304" s="26"/>
      <c r="N304" s="86"/>
      <c r="O304" s="86"/>
      <c r="P304" s="57"/>
      <c r="Q304" s="86"/>
      <c r="R304" s="86"/>
      <c r="S304" s="86"/>
      <c r="T304" s="86"/>
      <c r="U304" s="86"/>
    </row>
    <row r="305" spans="2:21" ht="15">
      <c r="B305" s="96"/>
      <c r="C305" s="80"/>
      <c r="D305" s="57" t="s">
        <v>928</v>
      </c>
      <c r="E305" s="26"/>
      <c r="F305" s="26"/>
      <c r="G305" s="26"/>
      <c r="H305" s="26"/>
      <c r="I305" s="26"/>
      <c r="J305" s="26"/>
      <c r="K305" s="26"/>
      <c r="L305" s="71"/>
      <c r="M305" s="26"/>
      <c r="N305" s="86"/>
      <c r="O305" s="86"/>
      <c r="P305" s="57"/>
      <c r="Q305" s="86"/>
      <c r="R305" s="86"/>
      <c r="S305" s="86"/>
      <c r="T305" s="86"/>
      <c r="U305" s="86"/>
    </row>
    <row r="306" spans="2:21" ht="15">
      <c r="B306" s="96"/>
      <c r="C306" s="80"/>
      <c r="D306" s="57"/>
      <c r="E306" s="26"/>
      <c r="F306" s="26"/>
      <c r="G306" s="26"/>
      <c r="H306" s="26"/>
      <c r="I306" s="26"/>
      <c r="J306" s="26"/>
      <c r="K306" s="26"/>
      <c r="L306" s="71"/>
      <c r="M306" s="26"/>
      <c r="N306" s="86"/>
      <c r="O306" s="86"/>
      <c r="P306" s="57"/>
      <c r="Q306" s="86"/>
      <c r="R306" s="86"/>
      <c r="S306" s="86"/>
      <c r="T306" s="86"/>
      <c r="U306" s="86"/>
    </row>
    <row r="307" spans="2:21" ht="15">
      <c r="B307" s="96" t="s">
        <v>591</v>
      </c>
      <c r="C307" s="57"/>
      <c r="D307" s="57" t="str">
        <f>"Cash Working Capital assigned to transmission is one-eighth of O&amp;M allocated to transmission, as shown on line "&amp;B152&amp;". It excludes:"</f>
        <v>Cash Working Capital assigned to transmission is one-eighth of O&amp;M allocated to transmission, as shown on line 265. It excludes:</v>
      </c>
      <c r="E307" s="693"/>
      <c r="F307" s="693"/>
      <c r="G307" s="693"/>
      <c r="H307" s="693"/>
      <c r="I307" s="693"/>
      <c r="J307" s="693"/>
      <c r="K307" s="693"/>
      <c r="L307" s="800"/>
      <c r="M307" s="26"/>
      <c r="N307" s="86"/>
      <c r="O307" s="86"/>
      <c r="P307" s="86"/>
      <c r="Q307" s="86"/>
      <c r="R307" s="86"/>
      <c r="S307" s="86"/>
      <c r="T307" s="86"/>
      <c r="U307" s="86"/>
    </row>
    <row r="308" spans="2:21" ht="15">
      <c r="B308" s="96"/>
      <c r="C308" s="57"/>
      <c r="D308" s="1032"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262.</v>
      </c>
      <c r="E308" s="708"/>
      <c r="F308" s="708"/>
      <c r="G308" s="708"/>
      <c r="H308" s="708"/>
      <c r="I308" s="708"/>
      <c r="J308" s="708"/>
      <c r="K308" s="708"/>
      <c r="L308" s="800"/>
      <c r="M308" s="26"/>
      <c r="N308" s="86"/>
      <c r="O308" s="86"/>
      <c r="P308" s="86"/>
      <c r="Q308" s="86"/>
      <c r="R308" s="86"/>
      <c r="S308" s="86"/>
      <c r="T308" s="86"/>
      <c r="U308" s="86"/>
    </row>
    <row r="309" spans="2:21" ht="15">
      <c r="B309" s="96"/>
      <c r="C309" s="57"/>
      <c r="D309" s="1033" t="str">
        <f>+"2)  AEP transmission equalization transfers, as shown on line "&amp;B150&amp;""</f>
        <v>2)  AEP transmission equalization transfers, as shown on line 263</v>
      </c>
      <c r="E309" s="693"/>
      <c r="F309" s="693"/>
      <c r="G309" s="693"/>
      <c r="H309" s="693"/>
      <c r="I309" s="693"/>
      <c r="J309" s="693"/>
      <c r="K309" s="693"/>
      <c r="L309" s="800"/>
      <c r="M309" s="26"/>
      <c r="N309" s="86"/>
      <c r="O309" s="86"/>
      <c r="P309" s="86"/>
      <c r="Q309" s="86"/>
      <c r="R309" s="86"/>
      <c r="S309" s="86"/>
      <c r="T309" s="86"/>
      <c r="U309" s="86"/>
    </row>
    <row r="310" spans="2:21" ht="15">
      <c r="B310" s="96"/>
      <c r="C310" s="57"/>
      <c r="D310" s="1032" t="str">
        <f>+"3)  The impact of state regulatory deferrals and amortizations, as shown on line  "&amp;B151&amp;""</f>
        <v>3)  The impact of state regulatory deferrals and amortizations, as shown on line  264</v>
      </c>
      <c r="E310" s="708"/>
      <c r="F310" s="708"/>
      <c r="G310" s="708"/>
      <c r="H310" s="708"/>
      <c r="I310" s="708"/>
      <c r="J310" s="708"/>
      <c r="K310" s="708"/>
      <c r="L310" s="800"/>
      <c r="M310" s="26"/>
      <c r="N310" s="86"/>
      <c r="O310" s="86"/>
      <c r="P310" s="86"/>
      <c r="Q310" s="86"/>
      <c r="R310" s="86"/>
      <c r="S310" s="86"/>
      <c r="T310" s="86"/>
      <c r="U310" s="86"/>
    </row>
    <row r="311" spans="2:21" ht="15">
      <c r="B311" s="96"/>
      <c r="C311" s="708"/>
      <c r="D311" s="1033" t="str">
        <f>"4) All A&amp;G Expenses, as shown on line "&amp;B165&amp;"."</f>
        <v>4) All A&amp;G Expenses, as shown on line 277.</v>
      </c>
      <c r="E311" s="693"/>
      <c r="F311" s="693"/>
      <c r="G311" s="693"/>
      <c r="H311" s="693"/>
      <c r="I311" s="693"/>
      <c r="J311" s="693"/>
      <c r="K311" s="693"/>
      <c r="L311" s="800"/>
      <c r="M311" s="26"/>
      <c r="N311" s="86"/>
      <c r="O311" s="86"/>
      <c r="P311" s="86"/>
      <c r="Q311" s="86"/>
      <c r="R311" s="86"/>
      <c r="S311" s="86"/>
      <c r="T311" s="86"/>
      <c r="U311" s="86"/>
    </row>
    <row r="312" spans="2:21" ht="15">
      <c r="B312" s="96"/>
      <c r="C312" s="80"/>
      <c r="D312" s="1032"/>
      <c r="E312" s="1042"/>
      <c r="F312" s="1042"/>
      <c r="G312" s="1042"/>
      <c r="H312" s="1042"/>
      <c r="I312" s="1042"/>
      <c r="J312" s="1042"/>
      <c r="K312" s="1042"/>
      <c r="L312" s="26"/>
      <c r="M312" s="26"/>
      <c r="N312" s="86"/>
      <c r="O312" s="86"/>
      <c r="P312" s="86"/>
      <c r="Q312" s="86"/>
      <c r="R312" s="86"/>
      <c r="S312" s="86"/>
      <c r="T312" s="86"/>
      <c r="U312" s="86"/>
    </row>
    <row r="313" spans="2:21" ht="15">
      <c r="B313" s="98" t="s">
        <v>592</v>
      </c>
      <c r="C313" s="85"/>
      <c r="D313" s="1043" t="str">
        <f>"Consistent with Paragraph 657 of Order 2003-A, the amount on line "&amp;B126&amp;" is equal to the balance of IPP System Upgrade Credits owed to transmission customers that"</f>
        <v>Consistent with Paragraph 657 of Order 2003-A, the amount on line 254 is equal to the balance of IPP System Upgrade Credits owed to transmission customers that</v>
      </c>
      <c r="E313" s="1043"/>
      <c r="F313" s="1043"/>
      <c r="G313" s="1043"/>
      <c r="H313" s="1043"/>
      <c r="I313" s="1043"/>
      <c r="J313" s="1043"/>
      <c r="K313" s="1043"/>
      <c r="L313" s="15"/>
      <c r="M313" s="26"/>
      <c r="N313" s="86"/>
      <c r="O313" s="86"/>
      <c r="P313" s="86"/>
      <c r="Q313" s="86"/>
      <c r="R313" s="86"/>
      <c r="S313" s="86"/>
      <c r="T313" s="86"/>
      <c r="U313" s="86"/>
    </row>
    <row r="314" spans="2:21" ht="15">
      <c r="B314" s="99"/>
      <c r="C314" s="15"/>
      <c r="D314" s="1043" t="s">
        <v>693</v>
      </c>
      <c r="E314" s="1043"/>
      <c r="F314" s="1043"/>
      <c r="G314" s="1043"/>
      <c r="H314" s="1043"/>
      <c r="I314" s="1043"/>
      <c r="J314" s="1043"/>
      <c r="K314" s="1043"/>
      <c r="L314" s="15"/>
      <c r="M314" s="26"/>
      <c r="N314" s="86"/>
      <c r="O314" s="86"/>
      <c r="P314" s="86"/>
      <c r="Q314" s="86"/>
      <c r="R314" s="86"/>
      <c r="S314" s="86"/>
      <c r="T314" s="86"/>
      <c r="U314" s="86"/>
    </row>
    <row r="315" spans="2:21" ht="15">
      <c r="B315" s="99"/>
      <c r="C315" s="15"/>
      <c r="D315" s="1043" t="str">
        <f>"expense is included on line "&amp;B205&amp;"."</f>
        <v>expense is included on line 310.</v>
      </c>
      <c r="E315" s="1043"/>
      <c r="F315" s="1043"/>
      <c r="G315" s="1043"/>
      <c r="H315" s="1043"/>
      <c r="I315" s="1043"/>
      <c r="J315" s="1043"/>
      <c r="K315" s="1043"/>
      <c r="L315" s="15"/>
      <c r="M315" s="26"/>
      <c r="N315" s="86"/>
      <c r="O315" s="86"/>
      <c r="P315" s="86"/>
      <c r="Q315" s="86"/>
      <c r="R315" s="86"/>
      <c r="S315" s="86"/>
      <c r="T315" s="86"/>
      <c r="U315" s="86"/>
    </row>
    <row r="316" spans="2:21" ht="15">
      <c r="B316" s="99"/>
      <c r="C316" s="15"/>
      <c r="D316" s="1043"/>
      <c r="E316" s="1043"/>
      <c r="F316" s="1043"/>
      <c r="G316" s="1043"/>
      <c r="H316" s="1043"/>
      <c r="I316" s="1043"/>
      <c r="J316" s="1043"/>
      <c r="K316" s="1043"/>
      <c r="L316" s="15"/>
      <c r="M316" s="15"/>
      <c r="N316" s="86"/>
      <c r="O316" s="86"/>
      <c r="P316" s="86"/>
      <c r="Q316" s="86"/>
      <c r="R316" s="86"/>
      <c r="S316" s="86"/>
      <c r="T316" s="86"/>
      <c r="U316" s="86"/>
    </row>
    <row r="317" spans="2:21" ht="15">
      <c r="B317" s="98" t="s">
        <v>593</v>
      </c>
      <c r="C317" s="15"/>
      <c r="D317" s="1199"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192 &amp; 193 above) are recovered in Schedule 1A, OATT ancillary services rates. See Worksheet F, lines 5 through 14, for descriptions and the Form 1 Source of these accounts' balances.</v>
      </c>
      <c r="E317" s="1199"/>
      <c r="F317" s="1199"/>
      <c r="G317" s="1199"/>
      <c r="H317" s="1199"/>
      <c r="I317" s="1199"/>
      <c r="J317" s="1199"/>
      <c r="K317" s="1199"/>
      <c r="L317" s="15"/>
      <c r="M317" s="15"/>
      <c r="N317" s="86"/>
      <c r="O317" s="86"/>
      <c r="P317" s="86"/>
      <c r="Q317" s="86"/>
      <c r="R317" s="86"/>
      <c r="S317" s="86"/>
      <c r="T317" s="86"/>
      <c r="U317" s="86"/>
    </row>
    <row r="318" spans="2:21" ht="12.75" customHeight="1">
      <c r="B318" s="98"/>
      <c r="C318" s="15"/>
      <c r="D318" s="1199"/>
      <c r="E318" s="1199"/>
      <c r="F318" s="1199"/>
      <c r="G318" s="1199"/>
      <c r="H318" s="1199"/>
      <c r="I318" s="1199"/>
      <c r="J318" s="1199"/>
      <c r="K318" s="1199"/>
      <c r="L318" s="15"/>
      <c r="M318" s="15"/>
      <c r="N318" s="86"/>
      <c r="O318" s="86"/>
      <c r="P318" s="86"/>
      <c r="Q318" s="86"/>
      <c r="R318" s="86"/>
      <c r="S318" s="86"/>
      <c r="T318" s="86"/>
      <c r="U318" s="86"/>
    </row>
    <row r="319" spans="2:21" ht="3" customHeight="1" hidden="1">
      <c r="B319" s="98"/>
      <c r="C319" s="15"/>
      <c r="D319" s="1199"/>
      <c r="E319" s="1199"/>
      <c r="F319" s="1199"/>
      <c r="G319" s="1199"/>
      <c r="H319" s="1199"/>
      <c r="I319" s="1199"/>
      <c r="J319" s="1199"/>
      <c r="K319" s="1199"/>
      <c r="L319" s="15"/>
      <c r="M319" s="15"/>
      <c r="N319" s="86"/>
      <c r="O319" s="86"/>
      <c r="P319" s="86"/>
      <c r="Q319" s="86"/>
      <c r="R319" s="86"/>
      <c r="S319" s="86"/>
      <c r="T319" s="86"/>
      <c r="U319" s="86"/>
    </row>
    <row r="320" spans="2:21" ht="15">
      <c r="B320" s="98"/>
      <c r="C320" s="15"/>
      <c r="D320" s="1032"/>
      <c r="E320" s="1043"/>
      <c r="F320" s="1043"/>
      <c r="G320" s="1043"/>
      <c r="H320" s="1043"/>
      <c r="I320" s="1043"/>
      <c r="J320" s="1043"/>
      <c r="K320" s="1043"/>
      <c r="L320" s="15"/>
      <c r="M320" s="15"/>
      <c r="N320" s="86"/>
      <c r="O320" s="86"/>
      <c r="P320" s="86"/>
      <c r="Q320" s="86"/>
      <c r="R320" s="86"/>
      <c r="S320" s="86"/>
      <c r="T320" s="86"/>
      <c r="U320" s="86"/>
    </row>
    <row r="321" spans="2:21" ht="15">
      <c r="B321" s="98" t="s">
        <v>594</v>
      </c>
      <c r="C321" s="15"/>
      <c r="D321" s="1194"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265. To the extent such service is incurred to provide the PJM service at issue, e.g. transmission equalization agreement, such costs are added back on lines 279 and 280 to determine the total O&amp;M collected in the formula.  The amounts on lines 279 and 280 are also excluded in the calculation of the FCR percentage calculated on lines 182 through 188.</v>
      </c>
      <c r="E321" s="1194"/>
      <c r="F321" s="1194"/>
      <c r="G321" s="1194"/>
      <c r="H321" s="1194"/>
      <c r="I321" s="1194"/>
      <c r="J321" s="1194"/>
      <c r="K321" s="1194"/>
      <c r="L321" s="15"/>
      <c r="M321" s="15"/>
      <c r="N321" s="86"/>
      <c r="O321" s="86"/>
      <c r="P321" s="86"/>
      <c r="Q321" s="86"/>
      <c r="R321" s="86"/>
      <c r="S321" s="86"/>
      <c r="T321" s="86"/>
      <c r="U321" s="86"/>
    </row>
    <row r="322" spans="2:21" ht="15">
      <c r="B322" s="98"/>
      <c r="C322" s="15"/>
      <c r="D322" s="1194"/>
      <c r="E322" s="1194"/>
      <c r="F322" s="1194"/>
      <c r="G322" s="1194"/>
      <c r="H322" s="1194"/>
      <c r="I322" s="1194"/>
      <c r="J322" s="1194"/>
      <c r="K322" s="1194"/>
      <c r="L322" s="15"/>
      <c r="M322" s="15"/>
      <c r="N322" s="86"/>
      <c r="O322" s="86"/>
      <c r="P322" s="86"/>
      <c r="Q322" s="86"/>
      <c r="R322" s="86"/>
      <c r="S322" s="86"/>
      <c r="T322" s="86"/>
      <c r="U322" s="86"/>
    </row>
    <row r="323" spans="2:21" ht="15">
      <c r="B323" s="98"/>
      <c r="C323" s="15"/>
      <c r="D323" s="1195"/>
      <c r="E323" s="1195"/>
      <c r="F323" s="1195"/>
      <c r="G323" s="1195"/>
      <c r="H323" s="1195"/>
      <c r="I323" s="1195"/>
      <c r="J323" s="1195"/>
      <c r="K323" s="1195"/>
      <c r="L323" s="15"/>
      <c r="M323" s="15"/>
      <c r="N323" s="86"/>
      <c r="O323" s="86"/>
      <c r="P323" s="86"/>
      <c r="Q323" s="86"/>
      <c r="R323" s="86"/>
      <c r="S323" s="86"/>
      <c r="T323" s="86"/>
      <c r="U323" s="86"/>
    </row>
    <row r="324" spans="2:21" ht="15">
      <c r="B324" s="98"/>
      <c r="C324" s="15"/>
      <c r="D324" s="1198" t="str">
        <f>"The addbacks  on lines "&amp;B168&amp;" and "&amp;B169&amp;" of activity recorded in 565 represents inter-company sales or purchases of transmission capacity necessary to meet each AEP company's transmission load relative to their available transmission capacity."</f>
        <v>The addbacks  on lines 279 and 280 of activity recorded in 565 represents inter-company sales or purchases of transmission capacity necessary to meet each AEP company's transmission load relative to their available transmission capacity.</v>
      </c>
      <c r="E324" s="1198"/>
      <c r="F324" s="1198"/>
      <c r="G324" s="1198"/>
      <c r="H324" s="1198"/>
      <c r="I324" s="1198"/>
      <c r="J324" s="1198"/>
      <c r="K324" s="1031"/>
      <c r="L324" s="15"/>
      <c r="M324" s="15"/>
      <c r="N324" s="86"/>
      <c r="O324" s="86"/>
      <c r="P324" s="86"/>
      <c r="Q324" s="86"/>
      <c r="R324" s="86"/>
      <c r="S324" s="86"/>
      <c r="T324" s="86"/>
      <c r="U324" s="86"/>
    </row>
    <row r="325" spans="2:21" ht="15">
      <c r="B325" s="98"/>
      <c r="C325" s="15"/>
      <c r="D325" s="1198"/>
      <c r="E325" s="1198"/>
      <c r="F325" s="1198"/>
      <c r="G325" s="1198"/>
      <c r="H325" s="1198"/>
      <c r="I325" s="1198"/>
      <c r="J325" s="1198"/>
      <c r="K325" s="1031"/>
      <c r="L325" s="15"/>
      <c r="M325" s="15"/>
      <c r="N325" s="86"/>
      <c r="O325" s="86"/>
      <c r="P325" s="86"/>
      <c r="Q325" s="86"/>
      <c r="R325" s="86"/>
      <c r="S325" s="86"/>
      <c r="T325" s="86"/>
      <c r="U325" s="86"/>
    </row>
    <row r="326" spans="2:21" ht="15">
      <c r="B326" s="98"/>
      <c r="C326" s="15"/>
      <c r="D326" s="1043" t="str">
        <f>"The company records referenced on lines "&amp;B168&amp;" and "&amp;B169&amp;" is the "&amp;F7&amp;" general ledger."</f>
        <v>The company records referenced on lines 279 and 280 is the AEP KENTUCKY TRANSMISSION COMPANY general ledger.</v>
      </c>
      <c r="E326" s="1030"/>
      <c r="F326" s="1030"/>
      <c r="G326" s="1030"/>
      <c r="H326" s="1030"/>
      <c r="I326" s="1030"/>
      <c r="J326" s="1030"/>
      <c r="K326" s="1031"/>
      <c r="L326" s="15"/>
      <c r="M326" s="15"/>
      <c r="N326" s="86"/>
      <c r="O326" s="86"/>
      <c r="P326" s="86"/>
      <c r="Q326" s="86"/>
      <c r="R326" s="86"/>
      <c r="S326" s="86"/>
      <c r="T326" s="86"/>
      <c r="U326" s="86"/>
    </row>
    <row r="327" spans="2:21" ht="15">
      <c r="B327" s="98"/>
      <c r="C327" s="15"/>
      <c r="D327" s="1030"/>
      <c r="E327" s="1030"/>
      <c r="F327" s="1030"/>
      <c r="G327" s="1030"/>
      <c r="H327" s="1030"/>
      <c r="I327" s="1030"/>
      <c r="J327" s="1030"/>
      <c r="K327" s="1030"/>
      <c r="L327" s="15"/>
      <c r="M327" s="15"/>
      <c r="N327" s="86"/>
      <c r="O327" s="86"/>
      <c r="P327" s="86"/>
      <c r="Q327" s="86"/>
      <c r="R327" s="86"/>
      <c r="S327" s="86"/>
      <c r="T327" s="86"/>
      <c r="U327" s="86"/>
    </row>
    <row r="328" spans="2:21" ht="15">
      <c r="B328" s="98" t="s">
        <v>595</v>
      </c>
      <c r="C328" s="15"/>
      <c r="D328" s="1043" t="s">
        <v>825</v>
      </c>
      <c r="E328" s="707"/>
      <c r="F328" s="707"/>
      <c r="G328" s="707"/>
      <c r="H328" s="707"/>
      <c r="I328" s="707"/>
      <c r="J328" s="707"/>
      <c r="K328" s="707"/>
      <c r="L328" s="15"/>
      <c r="M328" s="15"/>
      <c r="N328" s="86"/>
      <c r="O328" s="86"/>
      <c r="P328" s="86"/>
      <c r="Q328" s="86"/>
      <c r="R328" s="86"/>
      <c r="S328" s="86"/>
      <c r="T328" s="86"/>
      <c r="U328" s="86"/>
    </row>
    <row r="329" spans="2:21" ht="15">
      <c r="B329" s="98"/>
      <c r="C329" s="15"/>
      <c r="D329" s="1034"/>
      <c r="E329" s="1034"/>
      <c r="F329" s="1034"/>
      <c r="G329" s="1034"/>
      <c r="H329" s="1034"/>
      <c r="I329" s="1034"/>
      <c r="J329" s="1034"/>
      <c r="K329" s="1034"/>
      <c r="L329" s="15"/>
      <c r="M329" s="15"/>
      <c r="N329" s="86"/>
      <c r="O329" s="86"/>
      <c r="P329" s="86"/>
      <c r="Q329" s="86"/>
      <c r="R329" s="86"/>
      <c r="S329" s="86"/>
      <c r="T329" s="86"/>
      <c r="U329" s="86"/>
    </row>
    <row r="330" spans="2:21" ht="15" customHeight="1">
      <c r="B330" s="98" t="s">
        <v>596</v>
      </c>
      <c r="C330" s="15"/>
      <c r="D330" s="1178" t="s">
        <v>820</v>
      </c>
      <c r="E330" s="1184"/>
      <c r="F330" s="1184"/>
      <c r="G330" s="1184"/>
      <c r="H330" s="1184"/>
      <c r="I330" s="1184"/>
      <c r="J330" s="1184"/>
      <c r="K330" s="1043"/>
      <c r="L330" s="15"/>
      <c r="M330" s="15"/>
      <c r="N330" s="86"/>
      <c r="O330" s="86"/>
      <c r="P330" s="86"/>
      <c r="Q330" s="86"/>
      <c r="R330" s="86"/>
      <c r="S330" s="86"/>
      <c r="T330" s="86"/>
      <c r="U330" s="86"/>
    </row>
    <row r="331" spans="2:21" ht="15">
      <c r="B331" s="98"/>
      <c r="C331" s="15"/>
      <c r="D331" s="1190"/>
      <c r="E331" s="1190"/>
      <c r="F331" s="1190"/>
      <c r="G331" s="1190"/>
      <c r="H331" s="1190"/>
      <c r="I331" s="1190"/>
      <c r="J331" s="1190"/>
      <c r="K331" s="1034"/>
      <c r="L331" s="15"/>
      <c r="M331" s="15"/>
      <c r="N331" s="86"/>
      <c r="O331" s="86"/>
      <c r="P331" s="86"/>
      <c r="Q331" s="86"/>
      <c r="R331" s="86"/>
      <c r="S331" s="86"/>
      <c r="T331" s="86"/>
      <c r="U331" s="86"/>
    </row>
    <row r="332" spans="2:21" ht="3.75" customHeight="1" hidden="1">
      <c r="B332" s="98"/>
      <c r="C332" s="15"/>
      <c r="D332" s="1184"/>
      <c r="E332" s="1184"/>
      <c r="F332" s="1184"/>
      <c r="G332" s="1184"/>
      <c r="H332" s="1184"/>
      <c r="I332" s="1184"/>
      <c r="J332" s="1184"/>
      <c r="K332" s="1043"/>
      <c r="L332" s="15"/>
      <c r="M332" s="15"/>
      <c r="N332" s="86"/>
      <c r="O332" s="86"/>
      <c r="P332" s="86"/>
      <c r="Q332" s="86"/>
      <c r="R332" s="86"/>
      <c r="S332" s="86"/>
      <c r="T332" s="86"/>
      <c r="U332" s="86"/>
    </row>
    <row r="333" spans="2:21" ht="15">
      <c r="B333" s="98"/>
      <c r="C333" s="15"/>
      <c r="D333" s="15"/>
      <c r="E333" s="15"/>
      <c r="F333" s="15"/>
      <c r="G333" s="15"/>
      <c r="H333" s="15"/>
      <c r="I333" s="15"/>
      <c r="J333" s="15"/>
      <c r="K333" s="15"/>
      <c r="L333" s="15"/>
      <c r="M333" s="15"/>
      <c r="N333" s="86"/>
      <c r="O333" s="86"/>
      <c r="P333" s="86"/>
      <c r="Q333" s="86"/>
      <c r="R333" s="86"/>
      <c r="S333" s="86"/>
      <c r="T333" s="86"/>
      <c r="U333" s="86"/>
    </row>
    <row r="334" spans="2:21" ht="15" customHeight="1">
      <c r="B334" s="96" t="s">
        <v>597</v>
      </c>
      <c r="C334" s="15"/>
      <c r="D334" s="1188" t="s">
        <v>104</v>
      </c>
      <c r="E334" s="1189"/>
      <c r="F334" s="1189"/>
      <c r="G334" s="1189"/>
      <c r="H334" s="1189"/>
      <c r="I334" s="1189"/>
      <c r="J334" s="1189"/>
      <c r="K334" s="1189"/>
      <c r="L334" s="15"/>
      <c r="M334" s="15"/>
      <c r="N334" s="86"/>
      <c r="O334" s="86"/>
      <c r="P334" s="86"/>
      <c r="Q334" s="86"/>
      <c r="R334" s="86"/>
      <c r="S334" s="86"/>
      <c r="T334" s="86"/>
      <c r="U334" s="86"/>
    </row>
    <row r="335" spans="2:21" ht="15">
      <c r="B335" s="98"/>
      <c r="C335" s="15"/>
      <c r="D335" s="15"/>
      <c r="E335" s="15"/>
      <c r="F335" s="15"/>
      <c r="G335" s="15"/>
      <c r="H335" s="15"/>
      <c r="I335" s="15"/>
      <c r="J335" s="15"/>
      <c r="K335" s="15"/>
      <c r="L335" s="15"/>
      <c r="M335" s="15"/>
      <c r="N335" s="86"/>
      <c r="O335" s="86"/>
      <c r="P335" s="86"/>
      <c r="Q335" s="86"/>
      <c r="R335" s="86"/>
      <c r="S335" s="86"/>
      <c r="T335" s="86"/>
      <c r="U335" s="86"/>
    </row>
    <row r="336" spans="2:21" ht="15">
      <c r="B336" s="96" t="s">
        <v>598</v>
      </c>
      <c r="C336" s="80"/>
      <c r="D336" s="57" t="s">
        <v>1001</v>
      </c>
      <c r="E336" s="26"/>
      <c r="F336" s="26"/>
      <c r="G336" s="26"/>
      <c r="H336" s="26"/>
      <c r="I336" s="26"/>
      <c r="J336" s="26"/>
      <c r="K336" s="26"/>
      <c r="L336" s="26"/>
      <c r="M336" s="15"/>
      <c r="N336" s="86"/>
      <c r="O336" s="86"/>
      <c r="P336" s="86"/>
      <c r="Q336" s="86"/>
      <c r="R336" s="86"/>
      <c r="S336" s="86"/>
      <c r="T336" s="86"/>
      <c r="U336" s="86"/>
    </row>
    <row r="337" spans="2:21" ht="15">
      <c r="B337" s="96"/>
      <c r="C337" s="80"/>
      <c r="D337" s="57" t="s">
        <v>261</v>
      </c>
      <c r="E337" s="26"/>
      <c r="F337" s="26"/>
      <c r="G337" s="26"/>
      <c r="H337" s="26"/>
      <c r="I337" s="26"/>
      <c r="J337" s="26"/>
      <c r="K337" s="26"/>
      <c r="L337" s="26"/>
      <c r="M337" s="15"/>
      <c r="N337" s="86"/>
      <c r="O337" s="86"/>
      <c r="P337" s="86"/>
      <c r="Q337" s="86"/>
      <c r="R337" s="86"/>
      <c r="S337" s="86"/>
      <c r="T337" s="86"/>
      <c r="U337" s="86"/>
    </row>
    <row r="338" spans="2:21" ht="15">
      <c r="B338" s="96"/>
      <c r="C338" s="80"/>
      <c r="D338" s="57" t="s">
        <v>262</v>
      </c>
      <c r="E338" s="26"/>
      <c r="F338" s="26"/>
      <c r="G338" s="26"/>
      <c r="H338" s="26"/>
      <c r="I338" s="26"/>
      <c r="J338" s="26"/>
      <c r="K338" s="26"/>
      <c r="L338" s="26"/>
      <c r="M338" s="15"/>
      <c r="N338" s="86"/>
      <c r="O338" s="86"/>
      <c r="P338" s="86"/>
      <c r="Q338" s="86"/>
      <c r="R338" s="86"/>
      <c r="S338" s="86"/>
      <c r="T338" s="86"/>
      <c r="U338" s="86"/>
    </row>
    <row r="339" spans="2:21" ht="15">
      <c r="B339" s="96"/>
      <c r="C339" s="80"/>
      <c r="D339" s="15" t="s">
        <v>263</v>
      </c>
      <c r="E339" s="26"/>
      <c r="F339" s="26"/>
      <c r="G339" s="26"/>
      <c r="H339" s="26"/>
      <c r="I339" s="26"/>
      <c r="J339" s="26"/>
      <c r="K339" s="26"/>
      <c r="L339" s="26"/>
      <c r="M339" s="15"/>
      <c r="N339" s="86"/>
      <c r="O339" s="86"/>
      <c r="P339" s="86"/>
      <c r="Q339" s="86"/>
      <c r="R339" s="86"/>
      <c r="S339" s="86"/>
      <c r="T339" s="86"/>
      <c r="U339" s="86"/>
    </row>
    <row r="340" spans="2:21" ht="15">
      <c r="B340" s="96"/>
      <c r="C340" s="80"/>
      <c r="D340" s="15"/>
      <c r="E340" s="26"/>
      <c r="F340" s="26"/>
      <c r="G340" s="26"/>
      <c r="H340" s="26"/>
      <c r="I340" s="26"/>
      <c r="J340" s="26"/>
      <c r="K340" s="26"/>
      <c r="L340" s="26"/>
      <c r="M340" s="15"/>
      <c r="N340" s="86"/>
      <c r="O340" s="86"/>
      <c r="P340" s="86"/>
      <c r="Q340" s="86"/>
      <c r="R340" s="86"/>
      <c r="S340" s="86"/>
      <c r="T340" s="86"/>
      <c r="U340" s="86"/>
    </row>
    <row r="341" spans="2:21" ht="15" customHeight="1">
      <c r="B341" s="96" t="s">
        <v>599</v>
      </c>
      <c r="C341" s="80"/>
      <c r="D341" s="1171" t="s">
        <v>179</v>
      </c>
      <c r="E341" s="1171"/>
      <c r="F341" s="1171"/>
      <c r="G341" s="1171"/>
      <c r="H341" s="1171"/>
      <c r="I341" s="1171"/>
      <c r="J341" s="1171"/>
      <c r="K341" s="1171"/>
      <c r="L341" s="1171"/>
      <c r="M341" s="15"/>
      <c r="N341" s="86"/>
      <c r="O341" s="86"/>
      <c r="P341" s="86"/>
      <c r="Q341" s="86"/>
      <c r="R341" s="86"/>
      <c r="S341" s="86"/>
      <c r="T341" s="86"/>
      <c r="U341" s="86"/>
    </row>
    <row r="342" spans="2:21" ht="15">
      <c r="B342" s="96"/>
      <c r="C342" s="80"/>
      <c r="D342" s="1171"/>
      <c r="E342" s="1171"/>
      <c r="F342" s="1171"/>
      <c r="G342" s="1171"/>
      <c r="H342" s="1171"/>
      <c r="I342" s="1171"/>
      <c r="J342" s="1171"/>
      <c r="K342" s="1171"/>
      <c r="L342" s="1171"/>
      <c r="M342" s="15"/>
      <c r="N342" s="86"/>
      <c r="O342" s="86"/>
      <c r="P342" s="86"/>
      <c r="Q342" s="86"/>
      <c r="R342" s="86"/>
      <c r="S342" s="86"/>
      <c r="T342" s="86"/>
      <c r="U342" s="86"/>
    </row>
    <row r="343" spans="2:21" ht="15">
      <c r="B343" s="96"/>
      <c r="C343" s="80"/>
      <c r="D343" s="1171"/>
      <c r="E343" s="1171"/>
      <c r="F343" s="1171"/>
      <c r="G343" s="1171"/>
      <c r="H343" s="1171"/>
      <c r="I343" s="1171"/>
      <c r="J343" s="1171"/>
      <c r="K343" s="1171"/>
      <c r="L343" s="1171"/>
      <c r="M343" s="15"/>
      <c r="N343" s="86"/>
      <c r="O343" s="86"/>
      <c r="P343" s="86"/>
      <c r="Q343" s="86"/>
      <c r="R343" s="86"/>
      <c r="S343" s="86"/>
      <c r="T343" s="86"/>
      <c r="U343" s="86"/>
    </row>
    <row r="344" spans="2:21" ht="15">
      <c r="B344" s="96"/>
      <c r="C344" s="80"/>
      <c r="D344" s="730"/>
      <c r="E344" s="26"/>
      <c r="F344" s="26"/>
      <c r="G344" s="26"/>
      <c r="H344" s="26"/>
      <c r="I344" s="26"/>
      <c r="J344" s="26"/>
      <c r="K344" s="26"/>
      <c r="L344" s="26"/>
      <c r="M344" s="15"/>
      <c r="N344" s="86"/>
      <c r="O344" s="86"/>
      <c r="P344" s="86"/>
      <c r="Q344" s="86"/>
      <c r="R344" s="86"/>
      <c r="S344" s="86"/>
      <c r="T344" s="86"/>
      <c r="U344" s="86"/>
    </row>
    <row r="345" spans="2:21" ht="15">
      <c r="B345" s="141" t="s">
        <v>841</v>
      </c>
      <c r="C345" s="80"/>
      <c r="D345" s="57" t="s">
        <v>1002</v>
      </c>
      <c r="E345" s="89"/>
      <c r="F345" s="89"/>
      <c r="G345" s="89"/>
      <c r="H345" s="89"/>
      <c r="I345" s="89"/>
      <c r="J345" s="89"/>
      <c r="K345" s="15"/>
      <c r="L345" s="15"/>
      <c r="M345" s="15"/>
      <c r="N345" s="86"/>
      <c r="O345" s="86"/>
      <c r="P345" s="86"/>
      <c r="Q345" s="86"/>
      <c r="R345" s="86"/>
      <c r="S345" s="86"/>
      <c r="T345" s="86"/>
      <c r="U345" s="86"/>
    </row>
    <row r="346" spans="2:21" ht="15">
      <c r="B346" s="141"/>
      <c r="C346" s="80"/>
      <c r="D346" s="89"/>
      <c r="E346" s="89"/>
      <c r="F346" s="89"/>
      <c r="G346" s="89"/>
      <c r="H346" s="89"/>
      <c r="I346" s="89"/>
      <c r="J346" s="89"/>
      <c r="K346" s="15"/>
      <c r="L346" s="15"/>
      <c r="M346" s="15"/>
      <c r="N346" s="86"/>
      <c r="O346" s="86"/>
      <c r="P346" s="86"/>
      <c r="Q346" s="86"/>
      <c r="R346" s="86"/>
      <c r="S346" s="86"/>
      <c r="T346" s="86"/>
      <c r="U346" s="86"/>
    </row>
    <row r="347" spans="2:21" ht="15">
      <c r="B347" s="96" t="s">
        <v>927</v>
      </c>
      <c r="C347" s="80"/>
      <c r="D347" s="57" t="s">
        <v>974</v>
      </c>
      <c r="E347" s="15"/>
      <c r="F347" s="15"/>
      <c r="G347" s="15"/>
      <c r="H347" s="15"/>
      <c r="I347" s="15"/>
      <c r="J347" s="15"/>
      <c r="K347" s="15"/>
      <c r="L347" s="15"/>
      <c r="M347" s="15"/>
      <c r="N347" s="86"/>
      <c r="O347" s="86"/>
      <c r="P347" s="86"/>
      <c r="Q347" s="86"/>
      <c r="R347" s="86"/>
      <c r="S347" s="86"/>
      <c r="T347" s="86"/>
      <c r="U347" s="86"/>
    </row>
    <row r="348" spans="2:21" ht="15">
      <c r="B348" s="141"/>
      <c r="C348" s="80"/>
      <c r="D348" s="57" t="s">
        <v>826</v>
      </c>
      <c r="E348" s="15"/>
      <c r="F348" s="15"/>
      <c r="G348" s="15"/>
      <c r="H348" s="15"/>
      <c r="I348" s="15"/>
      <c r="J348" s="15"/>
      <c r="K348" s="15"/>
      <c r="L348" s="15"/>
      <c r="M348" s="15"/>
      <c r="N348" s="86"/>
      <c r="O348" s="86"/>
      <c r="P348" s="86"/>
      <c r="Q348" s="86"/>
      <c r="R348" s="86"/>
      <c r="S348" s="86"/>
      <c r="T348" s="86"/>
      <c r="U348" s="86"/>
    </row>
    <row r="349" spans="2:21" ht="15">
      <c r="B349" s="141"/>
      <c r="C349" s="80"/>
      <c r="D349" s="57" t="s">
        <v>827</v>
      </c>
      <c r="E349" s="15"/>
      <c r="F349" s="15"/>
      <c r="G349" s="15"/>
      <c r="H349" s="15"/>
      <c r="I349" s="15"/>
      <c r="J349" s="15"/>
      <c r="K349" s="15"/>
      <c r="L349" s="15"/>
      <c r="M349" s="15"/>
      <c r="N349" s="86"/>
      <c r="O349" s="86"/>
      <c r="P349" s="86"/>
      <c r="Q349" s="86"/>
      <c r="R349" s="86"/>
      <c r="S349" s="86"/>
      <c r="T349" s="86"/>
      <c r="U349" s="86"/>
    </row>
    <row r="350" spans="2:21" ht="15">
      <c r="B350" s="141"/>
      <c r="C350" s="80"/>
      <c r="D350" s="57" t="s">
        <v>828</v>
      </c>
      <c r="E350" s="15"/>
      <c r="F350" s="15"/>
      <c r="G350" s="15"/>
      <c r="H350" s="15"/>
      <c r="I350" s="15"/>
      <c r="J350" s="15"/>
      <c r="K350" s="15"/>
      <c r="L350" s="15"/>
      <c r="M350" s="15"/>
      <c r="N350" s="86"/>
      <c r="O350" s="86"/>
      <c r="P350" s="86"/>
      <c r="Q350" s="86"/>
      <c r="R350" s="86"/>
      <c r="S350" s="86"/>
      <c r="T350" s="86"/>
      <c r="U350" s="86"/>
    </row>
    <row r="351" spans="2:21" ht="15">
      <c r="B351" s="96"/>
      <c r="C351" s="80"/>
      <c r="D351" s="57" t="str">
        <f>"(ln "&amp;B197&amp;") multiplied by (1/1-T) .  If the applicable tax rates are zero enter 0."</f>
        <v>(ln 305) multiplied by (1/1-T) .  If the applicable tax rates are zero enter 0.</v>
      </c>
      <c r="H351" s="15"/>
      <c r="I351" s="15"/>
      <c r="J351" s="15"/>
      <c r="K351" s="15"/>
      <c r="L351" s="15"/>
      <c r="M351" s="15"/>
      <c r="N351" s="86"/>
      <c r="O351" s="86"/>
      <c r="P351" s="86"/>
      <c r="Q351" s="86"/>
      <c r="R351" s="86"/>
      <c r="S351" s="86"/>
      <c r="T351" s="86"/>
      <c r="U351" s="86"/>
    </row>
    <row r="352" spans="2:21" ht="15">
      <c r="B352" s="5"/>
      <c r="C352" s="86"/>
      <c r="D352" s="57" t="s">
        <v>975</v>
      </c>
      <c r="E352" s="26" t="s">
        <v>976</v>
      </c>
      <c r="F352" s="1147">
        <v>0.35</v>
      </c>
      <c r="G352" s="26"/>
      <c r="H352" s="15"/>
      <c r="I352" s="15"/>
      <c r="J352" s="15"/>
      <c r="K352" s="15"/>
      <c r="L352" s="15"/>
      <c r="M352" s="15"/>
      <c r="N352" s="86"/>
      <c r="O352" s="86"/>
      <c r="P352" s="86"/>
      <c r="Q352" s="86"/>
      <c r="R352" s="86"/>
      <c r="S352" s="86"/>
      <c r="T352" s="86"/>
      <c r="U352" s="86"/>
    </row>
    <row r="353" spans="2:21" ht="15">
      <c r="B353" s="5"/>
      <c r="C353" s="86"/>
      <c r="D353" s="57"/>
      <c r="E353" s="26" t="s">
        <v>977</v>
      </c>
      <c r="F353" s="90">
        <f>+'WS G  State Tax Rate'!F27</f>
        <v>0.06</v>
      </c>
      <c r="G353" s="26" t="s">
        <v>293</v>
      </c>
      <c r="H353" s="15"/>
      <c r="I353" s="15"/>
      <c r="J353" s="15"/>
      <c r="K353" s="15"/>
      <c r="L353" s="15"/>
      <c r="M353" s="15"/>
      <c r="N353" s="86"/>
      <c r="O353" s="86"/>
      <c r="P353" s="86"/>
      <c r="Q353" s="86"/>
      <c r="R353" s="86"/>
      <c r="S353" s="86"/>
      <c r="T353" s="86"/>
      <c r="U353" s="86"/>
    </row>
    <row r="354" spans="2:21" ht="15">
      <c r="B354" s="5"/>
      <c r="C354" s="86"/>
      <c r="D354" s="57"/>
      <c r="E354" s="26" t="s">
        <v>978</v>
      </c>
      <c r="F354" s="1147">
        <v>0</v>
      </c>
      <c r="G354" s="26" t="s">
        <v>979</v>
      </c>
      <c r="H354" s="15"/>
      <c r="I354" s="15"/>
      <c r="J354" s="15"/>
      <c r="K354" s="15"/>
      <c r="L354" s="15"/>
      <c r="M354" s="15"/>
      <c r="N354" s="86"/>
      <c r="O354" s="86"/>
      <c r="P354" s="86"/>
      <c r="Q354" s="86"/>
      <c r="R354" s="86"/>
      <c r="S354" s="86"/>
      <c r="T354" s="86"/>
      <c r="U354" s="86"/>
    </row>
    <row r="355" spans="2:21" ht="15">
      <c r="B355" s="141"/>
      <c r="C355" s="80"/>
      <c r="D355" s="57"/>
      <c r="E355" s="15"/>
      <c r="F355" s="15"/>
      <c r="G355" s="15"/>
      <c r="H355" s="15"/>
      <c r="I355" s="15"/>
      <c r="J355" s="15"/>
      <c r="K355" s="15"/>
      <c r="L355" s="15"/>
      <c r="M355" s="26"/>
      <c r="N355" s="86"/>
      <c r="O355" s="86"/>
      <c r="P355" s="86"/>
      <c r="Q355" s="86"/>
      <c r="R355" s="86"/>
      <c r="S355" s="86"/>
      <c r="T355" s="86"/>
      <c r="U355" s="86"/>
    </row>
    <row r="356" spans="2:21" ht="15">
      <c r="B356" s="96" t="s">
        <v>980</v>
      </c>
      <c r="C356" s="80"/>
      <c r="D356" s="57" t="s">
        <v>742</v>
      </c>
      <c r="E356" s="15"/>
      <c r="F356" s="15"/>
      <c r="G356" s="15"/>
      <c r="H356" s="15"/>
      <c r="I356" s="15"/>
      <c r="J356" s="15"/>
      <c r="K356" s="15"/>
      <c r="L356" s="15"/>
      <c r="M356" s="15"/>
      <c r="N356" s="86"/>
      <c r="O356" s="86"/>
      <c r="P356" s="86"/>
      <c r="Q356" s="86"/>
      <c r="R356" s="86"/>
      <c r="S356" s="86"/>
      <c r="T356" s="86"/>
      <c r="U356" s="86"/>
    </row>
    <row r="357" spans="2:21" ht="15">
      <c r="B357" s="16"/>
      <c r="D357" s="57"/>
      <c r="E357" s="15"/>
      <c r="F357" s="15"/>
      <c r="G357" s="15"/>
      <c r="H357" s="15"/>
      <c r="I357" s="15"/>
      <c r="J357" s="15"/>
      <c r="K357" s="15"/>
      <c r="L357" s="15"/>
      <c r="M357" s="15"/>
      <c r="N357" s="86"/>
      <c r="O357" s="86"/>
      <c r="P357" s="86"/>
      <c r="Q357" s="86"/>
      <c r="R357" s="86"/>
      <c r="S357" s="86"/>
      <c r="T357" s="86"/>
      <c r="U357" s="86"/>
    </row>
    <row r="358" spans="2:21" ht="15">
      <c r="B358" s="96" t="s">
        <v>981</v>
      </c>
      <c r="C358" s="80"/>
      <c r="D358" s="57" t="s">
        <v>494</v>
      </c>
      <c r="E358" s="15"/>
      <c r="F358" s="15"/>
      <c r="G358" s="15"/>
      <c r="H358" s="15"/>
      <c r="I358" s="15"/>
      <c r="J358" s="15"/>
      <c r="K358" s="15"/>
      <c r="L358" s="15"/>
      <c r="M358" s="15"/>
      <c r="N358" s="86"/>
      <c r="O358" s="86"/>
      <c r="P358" s="86"/>
      <c r="Q358" s="86"/>
      <c r="R358" s="86"/>
      <c r="S358" s="86"/>
      <c r="T358" s="86"/>
      <c r="U358" s="86"/>
    </row>
    <row r="359" spans="2:21" ht="15">
      <c r="B359" s="96"/>
      <c r="C359" s="80"/>
      <c r="D359" s="57"/>
      <c r="E359" s="26"/>
      <c r="F359" s="26"/>
      <c r="G359" s="26"/>
      <c r="H359" s="26"/>
      <c r="I359" s="26"/>
      <c r="J359" s="26"/>
      <c r="K359" s="26"/>
      <c r="L359" s="26"/>
      <c r="M359" s="26"/>
      <c r="N359" s="86"/>
      <c r="O359" s="86"/>
      <c r="P359" s="86"/>
      <c r="Q359" s="86"/>
      <c r="R359" s="86"/>
      <c r="S359" s="86"/>
      <c r="T359" s="86"/>
      <c r="U359" s="86"/>
    </row>
    <row r="360" spans="2:21" ht="15">
      <c r="B360" s="96" t="s">
        <v>982</v>
      </c>
      <c r="C360" s="80"/>
      <c r="D360" s="57" t="s">
        <v>67</v>
      </c>
      <c r="E360" s="26"/>
      <c r="F360" s="26"/>
      <c r="G360" s="26"/>
      <c r="H360" s="26"/>
      <c r="I360" s="26"/>
      <c r="J360" s="26"/>
      <c r="K360" s="26"/>
      <c r="L360" s="26"/>
      <c r="M360" s="26"/>
      <c r="N360" s="86"/>
      <c r="O360" s="86"/>
      <c r="P360" s="86"/>
      <c r="Q360" s="86"/>
      <c r="R360" s="86"/>
      <c r="S360" s="86"/>
      <c r="T360" s="86"/>
      <c r="U360" s="86"/>
    </row>
    <row r="361" spans="2:21" ht="15">
      <c r="B361" s="96"/>
      <c r="C361" s="80"/>
      <c r="D361" s="57"/>
      <c r="E361" s="26"/>
      <c r="F361" s="26"/>
      <c r="G361" s="26"/>
      <c r="H361" s="26"/>
      <c r="I361" s="26"/>
      <c r="J361" s="26"/>
      <c r="K361" s="26"/>
      <c r="L361" s="26"/>
      <c r="M361" s="26"/>
      <c r="N361" s="86"/>
      <c r="O361" s="86"/>
      <c r="P361" s="86"/>
      <c r="Q361" s="86"/>
      <c r="R361" s="86"/>
      <c r="S361" s="86"/>
      <c r="T361" s="86"/>
      <c r="U361" s="86"/>
    </row>
    <row r="362" spans="2:21" ht="15.75" customHeight="1">
      <c r="B362" s="982" t="s">
        <v>983</v>
      </c>
      <c r="C362" s="987"/>
      <c r="D362" s="1192" t="s">
        <v>1034</v>
      </c>
      <c r="E362" s="1193"/>
      <c r="F362" s="1193"/>
      <c r="G362" s="1193"/>
      <c r="H362" s="1193"/>
      <c r="I362" s="1193"/>
      <c r="J362" s="1193"/>
      <c r="M362"/>
      <c r="N362"/>
      <c r="O362" s="86"/>
      <c r="P362" s="86"/>
      <c r="Q362" s="86"/>
      <c r="R362" s="86"/>
      <c r="S362" s="86"/>
      <c r="T362" s="86"/>
      <c r="U362" s="86"/>
    </row>
    <row r="363" spans="2:21" ht="15">
      <c r="B363" s="987"/>
      <c r="C363" s="987"/>
      <c r="D363" s="1197"/>
      <c r="E363" s="1197"/>
      <c r="F363" s="1197"/>
      <c r="G363" s="1197"/>
      <c r="H363" s="1197"/>
      <c r="I363" s="1197"/>
      <c r="J363" s="1197"/>
      <c r="M363"/>
      <c r="N363"/>
      <c r="O363" s="86"/>
      <c r="P363" s="86"/>
      <c r="Q363" s="86"/>
      <c r="R363" s="86"/>
      <c r="S363" s="86"/>
      <c r="T363" s="86"/>
      <c r="U363" s="86"/>
    </row>
    <row r="364" spans="2:21" ht="15">
      <c r="B364" s="987"/>
      <c r="C364" s="987"/>
      <c r="D364" s="1197"/>
      <c r="E364" s="1197"/>
      <c r="F364" s="1197"/>
      <c r="G364" s="1197"/>
      <c r="H364" s="1197"/>
      <c r="I364" s="1197"/>
      <c r="J364" s="1197"/>
      <c r="M364"/>
      <c r="N364"/>
      <c r="O364" s="86"/>
      <c r="P364" s="86"/>
      <c r="Q364" s="86"/>
      <c r="R364" s="86"/>
      <c r="S364" s="86"/>
      <c r="T364" s="86"/>
      <c r="U364" s="86"/>
    </row>
    <row r="365" spans="2:21" ht="15">
      <c r="B365" s="987"/>
      <c r="C365" s="987"/>
      <c r="D365" s="1197"/>
      <c r="E365" s="1197"/>
      <c r="F365" s="1197"/>
      <c r="G365" s="1197"/>
      <c r="H365" s="1197"/>
      <c r="I365" s="1197"/>
      <c r="J365" s="1197"/>
      <c r="M365"/>
      <c r="N365"/>
      <c r="O365" s="86"/>
      <c r="P365" s="86"/>
      <c r="Q365" s="86"/>
      <c r="R365" s="86"/>
      <c r="S365" s="86"/>
      <c r="T365" s="86"/>
      <c r="U365" s="86"/>
    </row>
    <row r="366" spans="2:21" ht="12.75" customHeight="1">
      <c r="B366" s="987"/>
      <c r="C366" s="987"/>
      <c r="D366" s="1197"/>
      <c r="E366" s="1197"/>
      <c r="F366" s="1197"/>
      <c r="G366" s="1197"/>
      <c r="H366" s="1197"/>
      <c r="I366" s="1197"/>
      <c r="J366" s="1197"/>
      <c r="M366"/>
      <c r="N366"/>
      <c r="O366" s="86"/>
      <c r="P366" s="86"/>
      <c r="Q366" s="86"/>
      <c r="R366" s="86"/>
      <c r="S366" s="86"/>
      <c r="T366" s="86"/>
      <c r="U366" s="86"/>
    </row>
    <row r="367" spans="2:21" ht="0.75" customHeight="1">
      <c r="B367" s="987"/>
      <c r="C367" s="987"/>
      <c r="D367" s="1197"/>
      <c r="E367" s="1197"/>
      <c r="F367" s="1197"/>
      <c r="G367" s="1197"/>
      <c r="H367" s="1197"/>
      <c r="I367" s="1197"/>
      <c r="J367" s="1197"/>
      <c r="M367"/>
      <c r="N367"/>
      <c r="O367" s="86"/>
      <c r="P367" s="86"/>
      <c r="Q367" s="86"/>
      <c r="R367" s="86"/>
      <c r="S367" s="86"/>
      <c r="T367" s="86"/>
      <c r="U367" s="86"/>
    </row>
    <row r="368" spans="2:21" ht="54.75" customHeight="1">
      <c r="B368" s="987"/>
      <c r="C368" s="987"/>
      <c r="D368" s="1192" t="s">
        <v>1035</v>
      </c>
      <c r="E368" s="1193"/>
      <c r="F368" s="1193"/>
      <c r="G368" s="1193"/>
      <c r="H368" s="1193"/>
      <c r="I368" s="1193"/>
      <c r="J368" s="1193"/>
      <c r="M368"/>
      <c r="N368"/>
      <c r="O368" s="86"/>
      <c r="P368" s="86"/>
      <c r="Q368" s="86"/>
      <c r="R368" s="86"/>
      <c r="S368" s="86"/>
      <c r="T368" s="86"/>
      <c r="U368" s="86"/>
    </row>
    <row r="369" spans="2:21" s="59" customFormat="1" ht="19.5" customHeight="1">
      <c r="B369" s="1039"/>
      <c r="C369" s="1039"/>
      <c r="D369" s="1044"/>
      <c r="E369" s="1039"/>
      <c r="F369" s="1039"/>
      <c r="G369" s="1039"/>
      <c r="H369" s="1039"/>
      <c r="I369" s="1039"/>
      <c r="J369" s="1039"/>
      <c r="M369" s="26"/>
      <c r="N369" s="86"/>
      <c r="O369" s="86"/>
      <c r="P369" s="86"/>
      <c r="Q369" s="86"/>
      <c r="R369" s="86"/>
      <c r="S369" s="86"/>
      <c r="T369" s="86"/>
      <c r="U369" s="86"/>
    </row>
    <row r="370" spans="2:21" ht="15" customHeight="1">
      <c r="B370" s="96" t="s">
        <v>79</v>
      </c>
      <c r="C370" s="1041"/>
      <c r="D370" s="1186" t="str">
        <f>""&amp;F7&amp;"'s Common Stock is limited to 50% of the capital structure.  This limit may only be changed through a Section 205 or 206 filing effective after June 30, 2013."</f>
        <v>AEP KENTUCKY TRANSMISSION COMPANY's Common Stock is limited to 50% of the capital structure.  This limit may only be changed through a Section 205 or 206 filing effective after June 30, 2013.</v>
      </c>
      <c r="E370" s="1186"/>
      <c r="F370" s="1186"/>
      <c r="G370" s="1186"/>
      <c r="H370" s="1186"/>
      <c r="I370" s="1186"/>
      <c r="J370" s="1186"/>
      <c r="K370" s="952"/>
      <c r="L370" s="952"/>
      <c r="M370" s="26"/>
      <c r="N370" s="86"/>
      <c r="O370" s="86"/>
      <c r="P370" s="86"/>
      <c r="Q370" s="86"/>
      <c r="R370" s="86"/>
      <c r="S370" s="86"/>
      <c r="T370" s="86"/>
      <c r="U370" s="86"/>
    </row>
    <row r="371" spans="2:21" ht="15">
      <c r="B371" s="96"/>
      <c r="C371" s="80"/>
      <c r="D371" s="1187"/>
      <c r="E371" s="1187"/>
      <c r="F371" s="1187"/>
      <c r="G371" s="1187"/>
      <c r="H371" s="1187"/>
      <c r="I371" s="1187"/>
      <c r="J371" s="1187"/>
      <c r="K371" s="952"/>
      <c r="L371" s="952"/>
      <c r="M371" s="26"/>
      <c r="N371" s="86"/>
      <c r="O371" s="86"/>
      <c r="P371" s="86"/>
      <c r="Q371" s="86"/>
      <c r="R371" s="86"/>
      <c r="S371" s="86"/>
      <c r="T371" s="86"/>
      <c r="U371" s="86"/>
    </row>
    <row r="372" spans="2:21" ht="15">
      <c r="B372" s="96"/>
      <c r="C372" s="80"/>
      <c r="D372" s="16" t="s">
        <v>741</v>
      </c>
      <c r="M372" s="26"/>
      <c r="N372" s="86"/>
      <c r="O372" s="86"/>
      <c r="P372" s="86"/>
      <c r="Q372" s="86"/>
      <c r="R372" s="86"/>
      <c r="S372" s="86"/>
      <c r="T372" s="86"/>
      <c r="U372" s="86"/>
    </row>
    <row r="373" spans="2:21" ht="15">
      <c r="B373" s="96"/>
      <c r="C373" s="80"/>
      <c r="M373" s="26"/>
      <c r="N373" s="86"/>
      <c r="O373" s="86"/>
      <c r="P373" s="86"/>
      <c r="Q373" s="86"/>
      <c r="R373" s="86"/>
      <c r="S373" s="86"/>
      <c r="T373" s="86"/>
      <c r="U373" s="86"/>
    </row>
    <row r="374" spans="2:21" ht="15">
      <c r="B374" s="96"/>
      <c r="C374" s="80"/>
      <c r="M374" s="26"/>
      <c r="N374" s="86"/>
      <c r="O374" s="86"/>
      <c r="P374" s="86"/>
      <c r="Q374" s="86"/>
      <c r="R374" s="86"/>
      <c r="S374" s="86"/>
      <c r="T374" s="86"/>
      <c r="U374" s="86"/>
    </row>
    <row r="375" spans="2:21" ht="15">
      <c r="B375" s="96"/>
      <c r="C375" s="80"/>
      <c r="M375" s="26"/>
      <c r="N375" s="86"/>
      <c r="O375" s="86"/>
      <c r="P375" s="86"/>
      <c r="Q375" s="86"/>
      <c r="R375" s="86"/>
      <c r="S375" s="86"/>
      <c r="T375" s="86"/>
      <c r="U375" s="86"/>
    </row>
    <row r="376" spans="2:21" ht="15">
      <c r="B376" s="96"/>
      <c r="C376" s="80"/>
      <c r="M376" s="26"/>
      <c r="N376" s="86"/>
      <c r="O376" s="86"/>
      <c r="P376" s="86"/>
      <c r="Q376" s="86"/>
      <c r="R376" s="86"/>
      <c r="S376" s="86"/>
      <c r="T376" s="86"/>
      <c r="U376" s="86"/>
    </row>
    <row r="377" spans="2:21" ht="15">
      <c r="B377" s="96"/>
      <c r="C377" s="80"/>
      <c r="M377" s="26"/>
      <c r="N377" s="86"/>
      <c r="O377" s="86"/>
      <c r="P377" s="86"/>
      <c r="Q377" s="86"/>
      <c r="R377" s="86"/>
      <c r="S377" s="86"/>
      <c r="T377" s="86"/>
      <c r="U377" s="86"/>
    </row>
    <row r="378" spans="2:21" ht="15">
      <c r="B378"/>
      <c r="C378"/>
      <c r="D378"/>
      <c r="E378"/>
      <c r="F378"/>
      <c r="G378"/>
      <c r="H378"/>
      <c r="M378" s="26"/>
      <c r="N378" s="86"/>
      <c r="O378" s="86"/>
      <c r="P378" s="86"/>
      <c r="Q378" s="86"/>
      <c r="R378" s="86"/>
      <c r="S378" s="86"/>
      <c r="T378" s="86"/>
      <c r="U378" s="86"/>
    </row>
    <row r="379" spans="2:21" ht="15">
      <c r="B379"/>
      <c r="C379"/>
      <c r="D379"/>
      <c r="E379"/>
      <c r="F379"/>
      <c r="G379"/>
      <c r="H379"/>
      <c r="M379" s="26"/>
      <c r="N379" s="86"/>
      <c r="O379" s="86"/>
      <c r="P379" s="86"/>
      <c r="Q379" s="86"/>
      <c r="R379" s="86"/>
      <c r="S379" s="86"/>
      <c r="T379" s="86"/>
      <c r="U379" s="86"/>
    </row>
    <row r="380" spans="2:21" ht="15">
      <c r="B380"/>
      <c r="C380"/>
      <c r="D380"/>
      <c r="E380"/>
      <c r="F380"/>
      <c r="G380"/>
      <c r="H380"/>
      <c r="M380" s="26"/>
      <c r="N380" s="86"/>
      <c r="O380" s="86"/>
      <c r="P380" s="86"/>
      <c r="Q380" s="86"/>
      <c r="R380" s="86"/>
      <c r="S380" s="86"/>
      <c r="T380" s="86"/>
      <c r="U380" s="86"/>
    </row>
    <row r="381" spans="2:21" ht="15">
      <c r="B381"/>
      <c r="C381"/>
      <c r="D381"/>
      <c r="E381"/>
      <c r="F381"/>
      <c r="G381"/>
      <c r="H381"/>
      <c r="M381" s="26"/>
      <c r="N381" s="86"/>
      <c r="O381" s="86"/>
      <c r="P381" s="86"/>
      <c r="Q381" s="86"/>
      <c r="R381" s="86"/>
      <c r="S381" s="86"/>
      <c r="T381" s="86"/>
      <c r="U381" s="86"/>
    </row>
    <row r="382" spans="2:21" ht="15">
      <c r="B382"/>
      <c r="C382"/>
      <c r="D382" s="1164"/>
      <c r="E382" s="1164"/>
      <c r="F382" s="1164"/>
      <c r="G382" s="1164"/>
      <c r="H382" s="1164"/>
      <c r="I382" s="1164"/>
      <c r="J382" s="1164"/>
      <c r="M382" s="26"/>
      <c r="N382" s="86"/>
      <c r="O382" s="86"/>
      <c r="P382" s="86"/>
      <c r="Q382" s="86"/>
      <c r="R382" s="86"/>
      <c r="S382" s="86"/>
      <c r="T382" s="86"/>
      <c r="U382" s="86"/>
    </row>
    <row r="383" spans="2:21" ht="15">
      <c r="B383"/>
      <c r="C383"/>
      <c r="D383" s="1164"/>
      <c r="E383" s="1164"/>
      <c r="F383" s="1164"/>
      <c r="G383" s="1164"/>
      <c r="H383" s="1164"/>
      <c r="I383" s="1164"/>
      <c r="J383" s="1164"/>
      <c r="M383" s="26"/>
      <c r="N383" s="86"/>
      <c r="O383" s="86"/>
      <c r="P383" s="86"/>
      <c r="Q383" s="86"/>
      <c r="R383" s="86"/>
      <c r="S383" s="86"/>
      <c r="T383" s="86"/>
      <c r="U383" s="86"/>
    </row>
    <row r="384" spans="2:21" ht="15">
      <c r="B384"/>
      <c r="C384"/>
      <c r="D384"/>
      <c r="E384"/>
      <c r="F384"/>
      <c r="G384"/>
      <c r="H384"/>
      <c r="M384" s="26"/>
      <c r="N384" s="86"/>
      <c r="O384" s="86"/>
      <c r="P384" s="86"/>
      <c r="Q384" s="86"/>
      <c r="R384" s="86"/>
      <c r="S384" s="86"/>
      <c r="T384" s="86"/>
      <c r="U384" s="86"/>
    </row>
    <row r="385" spans="2:21" ht="15">
      <c r="B385"/>
      <c r="C385"/>
      <c r="D385"/>
      <c r="E385"/>
      <c r="F385"/>
      <c r="G385"/>
      <c r="H385"/>
      <c r="M385" s="26"/>
      <c r="N385" s="86"/>
      <c r="O385" s="86"/>
      <c r="P385" s="86"/>
      <c r="Q385" s="86"/>
      <c r="R385" s="86"/>
      <c r="S385" s="86"/>
      <c r="T385" s="86"/>
      <c r="U385" s="86"/>
    </row>
    <row r="386" spans="2:21" ht="15">
      <c r="B386"/>
      <c r="C386"/>
      <c r="D386"/>
      <c r="E386"/>
      <c r="F386"/>
      <c r="G386"/>
      <c r="H386"/>
      <c r="M386" s="26"/>
      <c r="N386" s="86"/>
      <c r="O386" s="86"/>
      <c r="P386" s="86"/>
      <c r="Q386" s="86"/>
      <c r="R386" s="86"/>
      <c r="S386" s="86"/>
      <c r="T386" s="86"/>
      <c r="U386" s="86"/>
    </row>
    <row r="387" spans="2:21" ht="15">
      <c r="B387"/>
      <c r="C387"/>
      <c r="D387"/>
      <c r="E387"/>
      <c r="F387"/>
      <c r="G387"/>
      <c r="H387"/>
      <c r="M387" s="26"/>
      <c r="N387" s="86"/>
      <c r="O387" s="86"/>
      <c r="P387" s="86"/>
      <c r="Q387" s="86"/>
      <c r="R387" s="86"/>
      <c r="S387" s="86"/>
      <c r="T387" s="86"/>
      <c r="U387" s="86"/>
    </row>
    <row r="388" spans="2:21" ht="15">
      <c r="B388"/>
      <c r="C388"/>
      <c r="D388"/>
      <c r="E388"/>
      <c r="F388"/>
      <c r="G388"/>
      <c r="H388"/>
      <c r="M388" s="26"/>
      <c r="N388" s="86"/>
      <c r="O388" s="86"/>
      <c r="P388" s="86"/>
      <c r="Q388" s="86"/>
      <c r="R388" s="86"/>
      <c r="S388" s="86"/>
      <c r="T388" s="86"/>
      <c r="U388" s="86"/>
    </row>
    <row r="389" spans="2:21" ht="15">
      <c r="B389" s="96"/>
      <c r="C389" s="80"/>
      <c r="M389" s="26"/>
      <c r="N389" s="86"/>
      <c r="O389" s="86"/>
      <c r="P389" s="86"/>
      <c r="Q389" s="86"/>
      <c r="R389" s="86"/>
      <c r="S389" s="86"/>
      <c r="T389" s="86"/>
      <c r="U389" s="86"/>
    </row>
    <row r="390" spans="2:21" ht="15">
      <c r="B390" s="16"/>
      <c r="M390" s="26"/>
      <c r="N390" s="86"/>
      <c r="O390" s="86"/>
      <c r="P390" s="86"/>
      <c r="Q390" s="86"/>
      <c r="R390" s="86"/>
      <c r="S390" s="86"/>
      <c r="T390" s="86"/>
      <c r="U390" s="86"/>
    </row>
    <row r="391" spans="2:21" ht="15">
      <c r="B391" s="16"/>
      <c r="M391" s="26"/>
      <c r="N391" s="86"/>
      <c r="O391" s="86"/>
      <c r="P391" s="86"/>
      <c r="Q391" s="86"/>
      <c r="R391" s="86"/>
      <c r="S391" s="86"/>
      <c r="T391" s="86"/>
      <c r="U391" s="86"/>
    </row>
    <row r="392" spans="2:21" ht="15">
      <c r="B392" s="16"/>
      <c r="M392" s="26"/>
      <c r="N392" s="86"/>
      <c r="O392" s="86"/>
      <c r="P392" s="86"/>
      <c r="Q392" s="86"/>
      <c r="R392" s="86"/>
      <c r="S392" s="86"/>
      <c r="T392" s="86"/>
      <c r="U392" s="86"/>
    </row>
    <row r="393" spans="2:21" ht="15">
      <c r="B393" s="16"/>
      <c r="H393" s="86"/>
      <c r="I393" s="86"/>
      <c r="J393" s="86"/>
      <c r="K393" s="86"/>
      <c r="L393" s="86"/>
      <c r="M393" s="86"/>
      <c r="N393" s="86"/>
      <c r="O393" s="86"/>
      <c r="P393" s="86"/>
      <c r="Q393" s="86"/>
      <c r="R393" s="86"/>
      <c r="S393" s="86"/>
      <c r="T393" s="86"/>
      <c r="U393" s="86"/>
    </row>
    <row r="394" spans="2:21" ht="15">
      <c r="B394" s="16"/>
      <c r="H394" s="86"/>
      <c r="K394" s="86"/>
      <c r="L394" s="86"/>
      <c r="M394" s="86"/>
      <c r="N394" s="86"/>
      <c r="O394" s="86"/>
      <c r="P394" s="86"/>
      <c r="Q394" s="86"/>
      <c r="R394" s="86"/>
      <c r="S394" s="86"/>
      <c r="T394" s="86"/>
      <c r="U394" s="86"/>
    </row>
    <row r="395" spans="2:21" ht="15">
      <c r="B395" s="16"/>
      <c r="H395" s="86"/>
      <c r="I395" s="86" t="s">
        <v>147</v>
      </c>
      <c r="J395" s="197"/>
      <c r="K395" s="86"/>
      <c r="L395" s="86"/>
      <c r="M395" s="86"/>
      <c r="N395" s="86"/>
      <c r="O395" s="86"/>
      <c r="P395" s="86"/>
      <c r="Q395" s="86"/>
      <c r="R395" s="86"/>
      <c r="S395" s="86"/>
      <c r="T395" s="86"/>
      <c r="U395" s="86"/>
    </row>
    <row r="396" spans="2:21" ht="15">
      <c r="B396" s="16"/>
      <c r="H396" s="86"/>
      <c r="I396" s="196" t="s">
        <v>569</v>
      </c>
      <c r="J396" s="197">
        <v>1</v>
      </c>
      <c r="K396" s="86"/>
      <c r="L396" s="86"/>
      <c r="M396" s="86"/>
      <c r="N396" s="86"/>
      <c r="O396" s="86"/>
      <c r="P396" s="86"/>
      <c r="Q396" s="86"/>
      <c r="R396" s="86"/>
      <c r="S396" s="86"/>
      <c r="T396" s="86"/>
      <c r="U396" s="86"/>
    </row>
    <row r="397" spans="2:21" ht="15">
      <c r="B397" s="16"/>
      <c r="H397" s="86"/>
      <c r="I397" s="196" t="s">
        <v>960</v>
      </c>
      <c r="J397" s="197">
        <f>$J$70</f>
        <v>0</v>
      </c>
      <c r="K397" s="86"/>
      <c r="L397" s="86"/>
      <c r="M397" s="86"/>
      <c r="N397" s="86"/>
      <c r="O397" s="86"/>
      <c r="P397" s="86"/>
      <c r="Q397" s="86"/>
      <c r="R397" s="86"/>
      <c r="S397" s="86"/>
      <c r="T397" s="86"/>
      <c r="U397" s="86"/>
    </row>
    <row r="398" spans="2:21" ht="15">
      <c r="B398" s="16"/>
      <c r="H398" s="86"/>
      <c r="I398" s="196" t="s">
        <v>692</v>
      </c>
      <c r="J398" s="197">
        <f>$J$71</f>
        <v>0</v>
      </c>
      <c r="K398" s="86"/>
      <c r="L398" s="86"/>
      <c r="M398" s="86"/>
      <c r="N398" s="86"/>
      <c r="O398" s="86"/>
      <c r="P398" s="86"/>
      <c r="Q398" s="86"/>
      <c r="R398" s="86"/>
      <c r="S398" s="86"/>
      <c r="T398" s="86"/>
      <c r="U398" s="86"/>
    </row>
    <row r="399" spans="2:21" ht="15">
      <c r="B399" s="5"/>
      <c r="C399" s="86"/>
      <c r="D399" s="86"/>
      <c r="E399" s="86"/>
      <c r="F399" s="86"/>
      <c r="G399" s="86"/>
      <c r="H399" s="86"/>
      <c r="I399" s="196" t="s">
        <v>567</v>
      </c>
      <c r="J399" s="198">
        <v>0</v>
      </c>
      <c r="K399" s="86"/>
      <c r="L399" s="86"/>
      <c r="M399" s="86"/>
      <c r="N399" s="86"/>
      <c r="O399" s="86"/>
      <c r="P399" s="86"/>
      <c r="Q399" s="86"/>
      <c r="R399" s="86"/>
      <c r="S399" s="86"/>
      <c r="T399" s="86"/>
      <c r="U399" s="86"/>
    </row>
    <row r="400" spans="2:21" ht="15">
      <c r="B400" s="5"/>
      <c r="C400" s="86"/>
      <c r="D400" s="86"/>
      <c r="E400" s="86"/>
      <c r="F400" s="86"/>
      <c r="G400" s="86"/>
      <c r="H400" s="86"/>
      <c r="I400" s="196" t="s">
        <v>961</v>
      </c>
      <c r="J400" s="197">
        <f>$J$100</f>
        <v>0</v>
      </c>
      <c r="K400" s="86"/>
      <c r="L400" s="86"/>
      <c r="M400" s="86"/>
      <c r="N400" s="86"/>
      <c r="O400" s="86"/>
      <c r="P400" s="86"/>
      <c r="Q400" s="86"/>
      <c r="R400" s="86"/>
      <c r="S400" s="86"/>
      <c r="T400" s="86"/>
      <c r="U400" s="86"/>
    </row>
    <row r="401" spans="2:21" ht="15">
      <c r="B401" s="5"/>
      <c r="C401" s="86"/>
      <c r="D401" s="86"/>
      <c r="E401" s="86"/>
      <c r="F401" s="86"/>
      <c r="G401" s="86"/>
      <c r="H401" s="86"/>
      <c r="I401" s="196" t="s">
        <v>561</v>
      </c>
      <c r="J401" s="197">
        <f>$L$229</f>
        <v>1</v>
      </c>
      <c r="K401" s="86"/>
      <c r="L401" s="86"/>
      <c r="M401" s="86"/>
      <c r="N401" s="86"/>
      <c r="O401" s="86"/>
      <c r="P401" s="86"/>
      <c r="Q401" s="86"/>
      <c r="R401" s="86"/>
      <c r="S401" s="86"/>
      <c r="T401" s="86"/>
      <c r="U401" s="86"/>
    </row>
    <row r="402" spans="2:13" ht="15">
      <c r="B402" s="9"/>
      <c r="C402" s="59"/>
      <c r="D402" s="59"/>
      <c r="E402" s="59"/>
      <c r="F402" s="59"/>
      <c r="G402" s="59"/>
      <c r="H402" s="59"/>
      <c r="I402" s="196" t="s">
        <v>498</v>
      </c>
      <c r="J402" s="197">
        <f>$J$75</f>
        <v>1</v>
      </c>
      <c r="K402" s="59"/>
      <c r="L402" s="59"/>
      <c r="M402" s="59"/>
    </row>
    <row r="403" spans="2:13" ht="15">
      <c r="B403" s="9"/>
      <c r="C403" s="59"/>
      <c r="D403" s="59"/>
      <c r="E403" s="59"/>
      <c r="F403" s="59"/>
      <c r="G403" s="59"/>
      <c r="H403" s="59"/>
      <c r="I403" s="196" t="s">
        <v>571</v>
      </c>
      <c r="J403" s="197">
        <f>$L$239</f>
        <v>0.9987295825771325</v>
      </c>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2:13" ht="15">
      <c r="B1248" s="9"/>
      <c r="C1248" s="59"/>
      <c r="D1248" s="59"/>
      <c r="E1248" s="59"/>
      <c r="F1248" s="59"/>
      <c r="G1248" s="59"/>
      <c r="H1248" s="59"/>
      <c r="I1248" s="59"/>
      <c r="J1248" s="59"/>
      <c r="K1248" s="59"/>
      <c r="L1248" s="59"/>
      <c r="M1248" s="59"/>
    </row>
    <row r="1249" spans="2:13" ht="15">
      <c r="B1249" s="9"/>
      <c r="C1249" s="59"/>
      <c r="D1249" s="59"/>
      <c r="E1249" s="59"/>
      <c r="F1249" s="59"/>
      <c r="G1249" s="59"/>
      <c r="H1249" s="59"/>
      <c r="I1249" s="59"/>
      <c r="J1249" s="59"/>
      <c r="K1249" s="59"/>
      <c r="L1249" s="59"/>
      <c r="M1249" s="59"/>
    </row>
    <row r="1250" spans="2:13" ht="15">
      <c r="B1250" s="9"/>
      <c r="C1250" s="59"/>
      <c r="D1250" s="59"/>
      <c r="E1250" s="59"/>
      <c r="F1250" s="59"/>
      <c r="G1250" s="59"/>
      <c r="H1250" s="59"/>
      <c r="I1250" s="59"/>
      <c r="J1250" s="59"/>
      <c r="K1250" s="59"/>
      <c r="L1250" s="59"/>
      <c r="M1250" s="59"/>
    </row>
    <row r="1251" spans="2:13" ht="15">
      <c r="B1251" s="9"/>
      <c r="C1251" s="59"/>
      <c r="D1251" s="59"/>
      <c r="E1251" s="59"/>
      <c r="F1251" s="59"/>
      <c r="G1251" s="59"/>
      <c r="H1251" s="59"/>
      <c r="I1251" s="59"/>
      <c r="J1251" s="59"/>
      <c r="K1251" s="59"/>
      <c r="L1251" s="59"/>
      <c r="M1251" s="59"/>
    </row>
    <row r="1252" spans="2:13" ht="15">
      <c r="B1252" s="9"/>
      <c r="C1252" s="59"/>
      <c r="D1252" s="59"/>
      <c r="E1252" s="59"/>
      <c r="F1252" s="59"/>
      <c r="G1252" s="59"/>
      <c r="H1252" s="59"/>
      <c r="I1252" s="59"/>
      <c r="J1252" s="59"/>
      <c r="K1252" s="59"/>
      <c r="L1252" s="59"/>
      <c r="M1252" s="59"/>
    </row>
    <row r="1253" spans="2:13" ht="15">
      <c r="B1253" s="9"/>
      <c r="C1253" s="59"/>
      <c r="D1253" s="59"/>
      <c r="E1253" s="59"/>
      <c r="F1253" s="59"/>
      <c r="G1253" s="59"/>
      <c r="H1253" s="59"/>
      <c r="I1253" s="59"/>
      <c r="J1253" s="59"/>
      <c r="K1253" s="59"/>
      <c r="L1253" s="59"/>
      <c r="M1253" s="59"/>
    </row>
    <row r="1254" spans="2:13" ht="15">
      <c r="B1254" s="9"/>
      <c r="C1254" s="59"/>
      <c r="D1254" s="59"/>
      <c r="E1254" s="59"/>
      <c r="F1254" s="59"/>
      <c r="G1254" s="59"/>
      <c r="H1254" s="59"/>
      <c r="I1254" s="59"/>
      <c r="J1254" s="59"/>
      <c r="K1254" s="59"/>
      <c r="L1254" s="59"/>
      <c r="M1254" s="59"/>
    </row>
    <row r="1255" spans="2:13" ht="15">
      <c r="B1255" s="9"/>
      <c r="C1255" s="59"/>
      <c r="D1255" s="59"/>
      <c r="E1255" s="59"/>
      <c r="F1255" s="59"/>
      <c r="G1255" s="59"/>
      <c r="H1255" s="59"/>
      <c r="I1255" s="59"/>
      <c r="J1255" s="59"/>
      <c r="K1255" s="59"/>
      <c r="L1255" s="59"/>
      <c r="M1255" s="59"/>
    </row>
    <row r="1256" spans="2:13" ht="15">
      <c r="B1256" s="9"/>
      <c r="C1256" s="59"/>
      <c r="D1256" s="59"/>
      <c r="E1256" s="59"/>
      <c r="F1256" s="59"/>
      <c r="G1256" s="59"/>
      <c r="H1256" s="59"/>
      <c r="I1256" s="59"/>
      <c r="J1256" s="59"/>
      <c r="K1256" s="59"/>
      <c r="L1256" s="59"/>
      <c r="M1256" s="59"/>
    </row>
    <row r="1257" spans="2:13" ht="15">
      <c r="B1257" s="9"/>
      <c r="C1257" s="59"/>
      <c r="D1257" s="59"/>
      <c r="E1257" s="59"/>
      <c r="F1257" s="59"/>
      <c r="G1257" s="59"/>
      <c r="H1257" s="59"/>
      <c r="I1257" s="59"/>
      <c r="J1257" s="59"/>
      <c r="K1257" s="59"/>
      <c r="L1257" s="59"/>
      <c r="M1257" s="59"/>
    </row>
    <row r="1258" spans="2:13" ht="15">
      <c r="B1258" s="9"/>
      <c r="C1258" s="59"/>
      <c r="D1258" s="59"/>
      <c r="E1258" s="59"/>
      <c r="F1258" s="59"/>
      <c r="G1258" s="59"/>
      <c r="H1258" s="59"/>
      <c r="I1258" s="59"/>
      <c r="J1258" s="59"/>
      <c r="K1258" s="59"/>
      <c r="L1258" s="59"/>
      <c r="M1258" s="59"/>
    </row>
    <row r="1259" spans="2:13" ht="15">
      <c r="B1259" s="9"/>
      <c r="C1259" s="59"/>
      <c r="D1259" s="59"/>
      <c r="E1259" s="59"/>
      <c r="F1259" s="59"/>
      <c r="G1259" s="59"/>
      <c r="H1259" s="59"/>
      <c r="I1259" s="59"/>
      <c r="J1259" s="59"/>
      <c r="K1259" s="59"/>
      <c r="L1259" s="59"/>
      <c r="M1259" s="59"/>
    </row>
    <row r="1260" spans="9:10" ht="15">
      <c r="I1260" s="59"/>
      <c r="J1260" s="59"/>
    </row>
  </sheetData>
  <sheetProtection/>
  <mergeCells count="19">
    <mergeCell ref="D382:J383"/>
    <mergeCell ref="D370:J371"/>
    <mergeCell ref="D362:J367"/>
    <mergeCell ref="D368:J368"/>
    <mergeCell ref="D296:K297"/>
    <mergeCell ref="D324:J325"/>
    <mergeCell ref="D341:L343"/>
    <mergeCell ref="D330:J332"/>
    <mergeCell ref="D317:K319"/>
    <mergeCell ref="D334:K334"/>
    <mergeCell ref="D321:K323"/>
    <mergeCell ref="I140:J140"/>
    <mergeCell ref="D35:L35"/>
    <mergeCell ref="G268:H268"/>
    <mergeCell ref="G251:H251"/>
    <mergeCell ref="B17:I18"/>
    <mergeCell ref="I53:J53"/>
    <mergeCell ref="I56:J56"/>
    <mergeCell ref="I137:J137"/>
  </mergeCells>
  <printOptions/>
  <pageMargins left="0.26" right="1.28" top="1" bottom="1" header="0.86" footer="0.5"/>
  <pageSetup fitToHeight="5" horizontalDpi="600" verticalDpi="600" orientation="portrait" scale="37" r:id="rId1"/>
  <headerFooter alignWithMargins="0">
    <oddHeader>&amp;R&amp;"Arial,Bold"Formula Rate 
&amp;A
Page &amp;P of &amp;N</oddHeader>
  </headerFooter>
  <rowBreaks count="4" manualBreakCount="4">
    <brk id="44" max="11" man="1"/>
    <brk id="129" max="11" man="1"/>
    <brk id="212" max="11" man="1"/>
    <brk id="274" max="11" man="1"/>
  </rowBreaks>
</worksheet>
</file>

<file path=xl/worksheets/sheet4.xml><?xml version="1.0" encoding="utf-8"?>
<worksheet xmlns="http://schemas.openxmlformats.org/spreadsheetml/2006/main" xmlns:r="http://schemas.openxmlformats.org/officeDocument/2006/relationships">
  <dimension ref="A1:U1266"/>
  <sheetViews>
    <sheetView zoomScale="70" zoomScaleNormal="70" zoomScalePageLayoutView="0" workbookViewId="0" topLeftCell="A1">
      <selection activeCell="H242" sqref="H242"/>
    </sheetView>
  </sheetViews>
  <sheetFormatPr defaultColWidth="11.421875" defaultRowHeight="12.75"/>
  <cols>
    <col min="1" max="1" width="4.7109375" style="16" customWidth="1"/>
    <col min="2" max="2" width="7.8515625" style="1" customWidth="1"/>
    <col min="3" max="3" width="1.8515625" style="16" customWidth="1"/>
    <col min="4" max="4" width="59.7109375" style="16" customWidth="1"/>
    <col min="5" max="5" width="25.57421875" style="16" customWidth="1"/>
    <col min="6" max="6" width="18.28125" style="16" customWidth="1"/>
    <col min="7" max="7" width="20.7109375" style="16" customWidth="1"/>
    <col min="8" max="8" width="20.00390625" style="16" customWidth="1"/>
    <col min="9" max="9" width="6.00390625" style="16" bestFit="1" customWidth="1"/>
    <col min="10" max="10" width="18.28125" style="16"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11.421875" style="16" customWidth="1"/>
  </cols>
  <sheetData>
    <row r="1" spans="1:14" ht="15">
      <c r="A1" s="16" t="s">
        <v>555</v>
      </c>
      <c r="B1" s="91"/>
      <c r="C1" s="13"/>
      <c r="D1" s="134"/>
      <c r="E1" s="66"/>
      <c r="F1" s="66"/>
      <c r="G1" s="67"/>
      <c r="H1" s="13"/>
      <c r="I1" s="14"/>
      <c r="J1" s="14"/>
      <c r="K1" s="14"/>
      <c r="L1" s="15"/>
      <c r="N1">
        <f>'Historic TCOS'!O1</f>
        <v>2014</v>
      </c>
    </row>
    <row r="2" spans="2:14" ht="15">
      <c r="B2" s="91"/>
      <c r="C2" s="13"/>
      <c r="D2" s="13"/>
      <c r="E2" s="13"/>
      <c r="F2" s="13"/>
      <c r="G2" s="13"/>
      <c r="H2" s="13"/>
      <c r="I2" s="13"/>
      <c r="J2" s="13"/>
      <c r="K2" s="13"/>
      <c r="L2" s="13"/>
      <c r="N2">
        <f>'Historic TCOS'!O2</f>
        <v>2015</v>
      </c>
    </row>
    <row r="3" spans="2:12" ht="15">
      <c r="B3" s="91"/>
      <c r="C3" s="13"/>
      <c r="D3" s="17"/>
      <c r="E3" s="17"/>
      <c r="F3" s="11" t="str">
        <f>'Historic TCOS'!$F$3</f>
        <v>AEPTCo subsidiaries in PJM</v>
      </c>
      <c r="G3" s="89"/>
      <c r="H3" s="89"/>
      <c r="J3" s="17"/>
      <c r="K3" s="18"/>
      <c r="L3" s="18"/>
    </row>
    <row r="4" spans="2:12" ht="15">
      <c r="B4" s="91"/>
      <c r="C4" s="13"/>
      <c r="D4" s="17"/>
      <c r="E4" s="19"/>
      <c r="F4" s="11" t="s">
        <v>63</v>
      </c>
      <c r="G4" s="89"/>
      <c r="H4" s="89"/>
      <c r="J4" s="19"/>
      <c r="K4" s="18"/>
      <c r="L4" s="18"/>
    </row>
    <row r="5" spans="2:12" ht="15">
      <c r="B5" s="91"/>
      <c r="C5" s="13"/>
      <c r="D5" s="18"/>
      <c r="E5" s="18"/>
      <c r="F5" s="12" t="str">
        <f>"Utilizing Actual Cost Data for "&amp;'Historic TCOS'!O1&amp;" with Average Ratebase Balances"</f>
        <v>Utilizing Actual Cost Data for 2014 with Average Ratebase Balances</v>
      </c>
      <c r="G5" s="89"/>
      <c r="H5" s="89"/>
      <c r="J5" s="18"/>
      <c r="K5" s="18"/>
      <c r="L5" s="18"/>
    </row>
    <row r="6" spans="2:12" ht="15">
      <c r="B6" s="92"/>
      <c r="C6" s="20"/>
      <c r="D6" s="18"/>
      <c r="F6" s="712"/>
      <c r="H6" s="21"/>
      <c r="I6" s="21"/>
      <c r="J6" s="21"/>
      <c r="K6" s="21"/>
      <c r="L6" s="18"/>
    </row>
    <row r="7" spans="2:12" ht="15">
      <c r="B7" s="92"/>
      <c r="C7" s="20"/>
      <c r="D7"/>
      <c r="E7" s="18"/>
      <c r="F7" s="471" t="str">
        <f>'Historic TCOS'!F7</f>
        <v>AEP KENTUCKY TRANSMISSION COMPANY</v>
      </c>
      <c r="G7" s="22"/>
      <c r="H7" s="18"/>
      <c r="I7" s="18"/>
      <c r="J7" s="18"/>
      <c r="K7" s="18"/>
      <c r="L7"/>
    </row>
    <row r="8" spans="2:12" ht="15">
      <c r="B8" s="92"/>
      <c r="C8" s="20"/>
      <c r="D8" s="18"/>
      <c r="E8" s="18"/>
      <c r="F8" s="212"/>
      <c r="G8" s="22"/>
      <c r="H8" s="18"/>
      <c r="I8" s="18"/>
      <c r="J8" s="18"/>
      <c r="K8" s="18"/>
      <c r="L8"/>
    </row>
    <row r="9" spans="2:12" ht="15">
      <c r="B9" s="92" t="s">
        <v>608</v>
      </c>
      <c r="C9" s="20"/>
      <c r="D9" s="18"/>
      <c r="E9" s="18"/>
      <c r="F9" s="18"/>
      <c r="G9" s="22"/>
      <c r="H9" s="18"/>
      <c r="I9" s="18"/>
      <c r="J9" s="18"/>
      <c r="K9" s="18"/>
      <c r="L9" s="20" t="s">
        <v>556</v>
      </c>
    </row>
    <row r="10" spans="2:12" ht="15" thickBot="1">
      <c r="B10" s="93" t="s">
        <v>558</v>
      </c>
      <c r="C10" s="25"/>
      <c r="D10" s="18"/>
      <c r="E10" s="25"/>
      <c r="F10" s="18"/>
      <c r="G10" s="18"/>
      <c r="H10" s="18"/>
      <c r="I10" s="18"/>
      <c r="J10" s="18"/>
      <c r="K10" s="18"/>
      <c r="L10" s="24" t="s">
        <v>609</v>
      </c>
    </row>
    <row r="11" spans="2:12" ht="15">
      <c r="B11" s="92">
        <v>1</v>
      </c>
      <c r="C11" s="20"/>
      <c r="D11" s="87" t="s">
        <v>552</v>
      </c>
      <c r="E11" s="26" t="str">
        <f>"(ln "&amp;B211&amp;")"</f>
        <v>(ln 136)</v>
      </c>
      <c r="F11" s="26"/>
      <c r="G11" s="27"/>
      <c r="H11" s="28"/>
      <c r="I11" s="18"/>
      <c r="J11" s="18"/>
      <c r="K11" s="18"/>
      <c r="L11" s="69">
        <f>+L211</f>
        <v>204019.40965192253</v>
      </c>
    </row>
    <row r="12" spans="2:12" ht="15" thickBot="1">
      <c r="B12" s="92"/>
      <c r="C12" s="20"/>
      <c r="E12" s="289"/>
      <c r="F12" s="29"/>
      <c r="G12" s="24" t="s">
        <v>559</v>
      </c>
      <c r="H12" s="19"/>
      <c r="I12" s="30" t="s">
        <v>560</v>
      </c>
      <c r="J12" s="30"/>
      <c r="K12" s="18"/>
      <c r="L12" s="27"/>
    </row>
    <row r="13" spans="2:12" ht="15">
      <c r="B13" s="92">
        <f>+B11+1</f>
        <v>2</v>
      </c>
      <c r="C13" s="20"/>
      <c r="D13" s="88" t="s">
        <v>607</v>
      </c>
      <c r="E13" s="308" t="s">
        <v>949</v>
      </c>
      <c r="F13" s="29"/>
      <c r="G13" s="129">
        <f>+'WS E Rev Credits'!K25</f>
        <v>0</v>
      </c>
      <c r="H13" s="29"/>
      <c r="I13" s="49" t="s">
        <v>569</v>
      </c>
      <c r="J13" s="50">
        <f>VLOOKUP(I13,APCo_TU_Allocators,2,FALSE)</f>
        <v>1</v>
      </c>
      <c r="K13" s="19"/>
      <c r="L13" s="156">
        <f>+J13*G13</f>
        <v>0</v>
      </c>
    </row>
    <row r="14" spans="2:12" ht="15">
      <c r="B14" s="92"/>
      <c r="C14" s="20"/>
      <c r="D14" s="88"/>
      <c r="F14" s="19"/>
      <c r="L14" s="547"/>
    </row>
    <row r="15" spans="2:12" ht="15" thickBot="1">
      <c r="B15" s="96">
        <f>+B13+1</f>
        <v>3</v>
      </c>
      <c r="C15" s="80"/>
      <c r="D15" s="138" t="s">
        <v>164</v>
      </c>
      <c r="E15" s="105" t="str">
        <f>"(ln "&amp;B11&amp;" less ln "&amp;B13&amp;")"</f>
        <v>(ln 1 less ln 2)</v>
      </c>
      <c r="F15" s="18"/>
      <c r="H15" s="19"/>
      <c r="I15" s="32"/>
      <c r="J15" s="19"/>
      <c r="K15" s="19"/>
      <c r="L15" s="288">
        <f>+L11-L13</f>
        <v>204019.40965192253</v>
      </c>
    </row>
    <row r="16" spans="2:12" ht="15" thickTop="1">
      <c r="B16" s="96"/>
      <c r="C16" s="80"/>
      <c r="D16" s="88"/>
      <c r="E16" s="105"/>
      <c r="F16" s="18"/>
      <c r="H16" s="19"/>
      <c r="I16" s="32"/>
      <c r="J16" s="19"/>
      <c r="K16" s="19"/>
      <c r="L16" s="106"/>
    </row>
    <row r="17" spans="2:9" ht="15" customHeight="1">
      <c r="B17" s="1168"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68"/>
      <c r="D17" s="1168"/>
      <c r="E17" s="1168"/>
      <c r="F17" s="1168"/>
      <c r="G17" s="1168"/>
      <c r="H17" s="1168"/>
      <c r="I17" s="1168"/>
    </row>
    <row r="18" spans="2:9" ht="37.5" customHeight="1">
      <c r="B18" s="1168"/>
      <c r="C18" s="1168"/>
      <c r="D18" s="1168"/>
      <c r="E18" s="1168"/>
      <c r="F18" s="1168"/>
      <c r="G18" s="1168"/>
      <c r="H18" s="1168"/>
      <c r="I18" s="1168"/>
    </row>
    <row r="19" spans="2:9" ht="15" customHeight="1">
      <c r="B19" s="636"/>
      <c r="C19" s="636"/>
      <c r="D19" s="636"/>
      <c r="E19" s="636"/>
      <c r="F19" s="636"/>
      <c r="G19" s="636"/>
      <c r="H19" s="636"/>
      <c r="I19" s="636"/>
    </row>
    <row r="20" spans="2:12" ht="15">
      <c r="B20" s="92">
        <f>+B15+1</f>
        <v>4</v>
      </c>
      <c r="C20" s="80"/>
      <c r="D20" s="307" t="s">
        <v>467</v>
      </c>
      <c r="E20" s="308"/>
      <c r="F20" s="29"/>
      <c r="G20" s="122">
        <f>+'WS K TRUE-UP RTEP RR'!N20</f>
        <v>0</v>
      </c>
      <c r="H20" s="29"/>
      <c r="I20" s="49" t="s">
        <v>569</v>
      </c>
      <c r="J20" s="50">
        <f>VLOOKUP(I20,APCo_TU_Allocators,2,FALSE)</f>
        <v>1</v>
      </c>
      <c r="K20" s="26"/>
      <c r="L20" s="309">
        <f>+J20*G20</f>
        <v>0</v>
      </c>
    </row>
    <row r="21" spans="2:12" ht="15">
      <c r="B21" s="92"/>
      <c r="C21" s="80"/>
      <c r="D21" s="307"/>
      <c r="E21" s="105"/>
      <c r="F21" s="29"/>
      <c r="G21" s="122"/>
      <c r="H21" s="29"/>
      <c r="I21" s="29"/>
      <c r="J21" s="50"/>
      <c r="K21" s="26"/>
      <c r="L21" s="309"/>
    </row>
    <row r="22" spans="2:11" ht="15">
      <c r="B22" s="96">
        <f>+B20+1</f>
        <v>5</v>
      </c>
      <c r="C22" s="80"/>
      <c r="D22" s="307" t="s">
        <v>1024</v>
      </c>
      <c r="E22" s="308"/>
      <c r="F22" s="18"/>
      <c r="G22" s="310"/>
      <c r="H22" s="18"/>
      <c r="I22" s="13"/>
      <c r="J22" s="18"/>
      <c r="K22" s="18"/>
    </row>
    <row r="23" spans="2:12" ht="15">
      <c r="B23" s="92">
        <f>B22+1</f>
        <v>6</v>
      </c>
      <c r="C23" s="80"/>
      <c r="D23" s="57" t="s">
        <v>858</v>
      </c>
      <c r="E23" s="26" t="str">
        <f>"( (ln "&amp;B11&amp;" - ln "&amp;B168&amp;" - ln "&amp;B169&amp;")/ ln "&amp;B91&amp;" x 100)"</f>
        <v>( (ln 1 - ln 102 - ln 103)/ ln 48 x 100)</v>
      </c>
      <c r="F23" s="20"/>
      <c r="G23" s="20"/>
      <c r="H23" s="20"/>
      <c r="I23" s="311"/>
      <c r="J23" s="311"/>
      <c r="K23" s="311"/>
      <c r="L23" s="312">
        <f>IF(L91=0,0,(L11-L168-L169)/L91)</f>
        <v>0</v>
      </c>
    </row>
    <row r="24" spans="2:12" ht="15">
      <c r="B24" s="92">
        <f>B23+1</f>
        <v>7</v>
      </c>
      <c r="C24" s="80"/>
      <c r="D24" s="57" t="s">
        <v>859</v>
      </c>
      <c r="E24" s="26" t="str">
        <f>"(ln "&amp;B23&amp;" / 12)"</f>
        <v>(ln 6 / 12)</v>
      </c>
      <c r="F24" s="20"/>
      <c r="G24" s="20"/>
      <c r="H24" s="20"/>
      <c r="I24" s="311"/>
      <c r="J24" s="311"/>
      <c r="K24" s="311"/>
      <c r="L24" s="313">
        <f>L23/12</f>
        <v>0</v>
      </c>
    </row>
    <row r="25" spans="2:12" ht="15">
      <c r="B25" s="92"/>
      <c r="C25" s="80"/>
      <c r="D25" s="57"/>
      <c r="E25" s="26"/>
      <c r="F25" s="20"/>
      <c r="G25" s="20"/>
      <c r="H25" s="20"/>
      <c r="I25" s="311"/>
      <c r="J25" s="311"/>
      <c r="K25" s="311"/>
      <c r="L25" s="313"/>
    </row>
    <row r="26" spans="2:12" ht="15">
      <c r="B26" s="92">
        <f>B24+1</f>
        <v>8</v>
      </c>
      <c r="C26" s="80"/>
      <c r="D26" s="307" t="str">
        <f>"NET PLANT CARRYING CHARGE ON LINE "&amp;B23&amp;" , w/o depreciation or ROE incentives (Note B)"</f>
        <v>NET PLANT CARRYING CHARGE ON LINE 6 , w/o depreciation or ROE incentives (Note B)</v>
      </c>
      <c r="E26" s="26"/>
      <c r="F26" s="20"/>
      <c r="G26" s="20"/>
      <c r="H26" s="20"/>
      <c r="I26" s="311"/>
      <c r="J26" s="311"/>
      <c r="K26" s="311"/>
      <c r="L26" s="313"/>
    </row>
    <row r="27" spans="2:12" ht="15">
      <c r="B27" s="92">
        <f>B26+1</f>
        <v>9</v>
      </c>
      <c r="C27" s="80"/>
      <c r="D27" s="57" t="s">
        <v>858</v>
      </c>
      <c r="E27" s="26" t="str">
        <f>"( (ln "&amp;B11&amp;" - ln "&amp;B168&amp;" - ln "&amp;B169&amp;" - ln "&amp;B175&amp;") / ln "&amp;B91&amp;" x 100)"</f>
        <v>( (ln 1 - ln 102 - ln 103 - ln 108) / ln 48 x 100)</v>
      </c>
      <c r="F27" s="20"/>
      <c r="G27" s="20"/>
      <c r="H27" s="20"/>
      <c r="I27" s="311"/>
      <c r="J27" s="311"/>
      <c r="K27" s="311"/>
      <c r="L27" s="312">
        <f>IF(L91=0,0,(L11-L168-L169-L175)/L91)</f>
        <v>0</v>
      </c>
    </row>
    <row r="28" spans="2:12" ht="15">
      <c r="B28" s="92"/>
      <c r="C28" s="80"/>
      <c r="D28" s="57"/>
      <c r="E28" s="26"/>
      <c r="F28" s="20"/>
      <c r="G28" s="20"/>
      <c r="H28" s="20"/>
      <c r="I28" s="311"/>
      <c r="J28" s="311"/>
      <c r="K28" s="311"/>
      <c r="L28" s="313"/>
    </row>
    <row r="29" spans="2:12" ht="15">
      <c r="B29" s="92">
        <f>B27+1</f>
        <v>10</v>
      </c>
      <c r="C29" s="80"/>
      <c r="D29" s="307" t="str">
        <f>"NET PLANT CARRYING CHARGE ON LINE "&amp;B27&amp;", w/o Return, income taxes or ROE incentives (Note B)"</f>
        <v>NET PLANT CARRYING CHARGE ON LINE 9, w/o Return, income taxes or ROE incentives (Note B)</v>
      </c>
      <c r="E29" s="26"/>
      <c r="F29" s="20"/>
      <c r="G29" s="707"/>
      <c r="H29" s="707"/>
      <c r="I29" s="707"/>
      <c r="J29" s="707"/>
      <c r="K29" s="707"/>
      <c r="L29" s="583"/>
    </row>
    <row r="30" spans="2:12" ht="15">
      <c r="B30" s="92">
        <f>B29+1</f>
        <v>11</v>
      </c>
      <c r="C30" s="80"/>
      <c r="D30" s="17" t="s">
        <v>858</v>
      </c>
      <c r="E30" s="26" t="str">
        <f>"( (ln "&amp;B11&amp;" - ln "&amp;B168&amp;" - ln "&amp;B169&amp;" - ln "&amp;B175&amp;" - ln "&amp;B201&amp;" - ln "&amp;B203&amp;") / ln "&amp;B91&amp;" x 100)"</f>
        <v>( (ln 1 - ln 102 - ln 103 - ln 108 - ln 131 - ln 132) / ln 48 x 100)</v>
      </c>
      <c r="F30" s="20"/>
      <c r="G30" s="707"/>
      <c r="H30" s="707"/>
      <c r="I30" s="707"/>
      <c r="J30" s="707"/>
      <c r="K30" s="707"/>
      <c r="L30" s="583">
        <f>IF(L91=0,0,(L11-L168-L169-L175-L201-L203)/L91)</f>
        <v>0</v>
      </c>
    </row>
    <row r="31" spans="2:12" ht="15">
      <c r="B31" s="92"/>
      <c r="C31" s="80"/>
      <c r="D31" s="17"/>
      <c r="E31" s="26"/>
      <c r="F31" s="20"/>
      <c r="G31" s="20"/>
      <c r="H31" s="20"/>
      <c r="I31" s="311"/>
      <c r="J31" s="311"/>
      <c r="K31" s="311"/>
      <c r="L31" s="312"/>
    </row>
    <row r="32" spans="2:12" ht="15">
      <c r="B32" s="92">
        <f>B30+1</f>
        <v>12</v>
      </c>
      <c r="C32" s="20"/>
      <c r="D32" s="465" t="s">
        <v>468</v>
      </c>
      <c r="E32" s="26"/>
      <c r="F32" s="20"/>
      <c r="G32" s="20"/>
      <c r="H32" s="20"/>
      <c r="I32" s="311"/>
      <c r="J32" s="311"/>
      <c r="K32" s="311"/>
      <c r="L32" s="122">
        <f>+'WS K TRUE-UP RTEP RR'!P20</f>
        <v>0</v>
      </c>
    </row>
    <row r="33" spans="2:12" ht="15">
      <c r="B33" s="92"/>
      <c r="C33" s="20"/>
      <c r="D33" s="13"/>
      <c r="E33" s="26"/>
      <c r="F33" s="20"/>
      <c r="G33" s="20"/>
      <c r="H33" s="20"/>
      <c r="I33" s="311"/>
      <c r="J33" s="311"/>
      <c r="K33" s="311"/>
      <c r="L33" s="312"/>
    </row>
    <row r="34" spans="2:12" ht="15">
      <c r="B34" s="16"/>
      <c r="C34" s="20"/>
      <c r="D34" s="13"/>
      <c r="E34" s="26"/>
      <c r="F34" s="20"/>
      <c r="G34" s="20"/>
      <c r="H34" s="20"/>
      <c r="I34" s="311"/>
      <c r="J34" s="311"/>
      <c r="K34" s="311"/>
      <c r="L34" s="312"/>
    </row>
    <row r="35" spans="2:12" ht="15">
      <c r="B35" s="92">
        <f>+B32+1</f>
        <v>13</v>
      </c>
      <c r="C35" s="20"/>
      <c r="D35" s="1177" t="s">
        <v>82</v>
      </c>
      <c r="E35" s="1177"/>
      <c r="F35" s="1177"/>
      <c r="G35" s="1177"/>
      <c r="H35" s="1177"/>
      <c r="I35" s="1177"/>
      <c r="J35" s="1177"/>
      <c r="K35" s="1177"/>
      <c r="L35" s="1177"/>
    </row>
    <row r="36" spans="2:12" ht="15">
      <c r="B36" s="92"/>
      <c r="C36" s="20"/>
      <c r="D36" s="13"/>
      <c r="E36" s="26"/>
      <c r="F36" s="20"/>
      <c r="G36" s="20"/>
      <c r="H36" s="20"/>
      <c r="I36" s="311"/>
      <c r="J36" s="311"/>
      <c r="K36" s="311"/>
      <c r="L36" s="312"/>
    </row>
    <row r="37" spans="2:12" ht="15">
      <c r="B37" s="92">
        <f>+B35+1</f>
        <v>14</v>
      </c>
      <c r="C37" s="20"/>
      <c r="D37" s="87" t="s">
        <v>84</v>
      </c>
      <c r="E37" s="26" t="str">
        <f>"Line "&amp;B149&amp;" Below"</f>
        <v>Line 85 Below</v>
      </c>
      <c r="F37" s="20"/>
      <c r="H37" s="20"/>
      <c r="I37" s="311"/>
      <c r="J37" s="311"/>
      <c r="K37" s="311"/>
      <c r="L37" s="128">
        <f>+G149</f>
        <v>238</v>
      </c>
    </row>
    <row r="38" spans="2:12" ht="15">
      <c r="B38" s="92">
        <f>+B37+1</f>
        <v>15</v>
      </c>
      <c r="C38" s="20"/>
      <c r="D38" s="87" t="s">
        <v>268</v>
      </c>
      <c r="E38" s="18"/>
      <c r="F38" s="20"/>
      <c r="H38" s="20"/>
      <c r="I38" s="311"/>
      <c r="J38" s="311"/>
      <c r="K38" s="311"/>
      <c r="L38" s="122">
        <f>+'Historic TCOS'!L38</f>
        <v>238</v>
      </c>
    </row>
    <row r="39" spans="2:12" ht="15">
      <c r="B39" s="92">
        <f>+B38+1</f>
        <v>16</v>
      </c>
      <c r="C39" s="20"/>
      <c r="D39" s="87" t="s">
        <v>269</v>
      </c>
      <c r="E39" s="18"/>
      <c r="F39" s="20"/>
      <c r="H39" s="20"/>
      <c r="I39" s="311"/>
      <c r="J39" s="311"/>
      <c r="K39" s="311"/>
      <c r="L39" s="122">
        <f>+'Historic TCOS'!L39</f>
        <v>0</v>
      </c>
    </row>
    <row r="40" spans="2:12" ht="15">
      <c r="B40" s="92"/>
      <c r="C40" s="20"/>
      <c r="E40" s="18"/>
      <c r="F40" s="20"/>
      <c r="H40" s="20"/>
      <c r="I40" s="311"/>
      <c r="J40" s="311"/>
      <c r="K40" s="311"/>
      <c r="L40" s="20"/>
    </row>
    <row r="41" spans="2:12" ht="15" thickBot="1">
      <c r="B41" s="92">
        <f>+B39+1</f>
        <v>17</v>
      </c>
      <c r="C41" s="20"/>
      <c r="D41" s="87" t="s">
        <v>83</v>
      </c>
      <c r="E41" s="28" t="str">
        <f>"(Line "&amp;B37&amp;" - Line "&amp;B38&amp;" - Line "&amp;B39&amp;")"</f>
        <v>(Line 14 - Line 15 - Line 16)</v>
      </c>
      <c r="F41" s="20"/>
      <c r="H41" s="20"/>
      <c r="I41" s="311"/>
      <c r="J41" s="311"/>
      <c r="K41" s="311"/>
      <c r="L41" s="607">
        <f>+L37-L38-L39</f>
        <v>0</v>
      </c>
    </row>
    <row r="42" spans="2:12" ht="15" thickTop="1">
      <c r="B42" s="92"/>
      <c r="C42" s="20"/>
      <c r="D42" s="13"/>
      <c r="E42" s="26"/>
      <c r="F42" s="20"/>
      <c r="G42" s="20"/>
      <c r="H42" s="20"/>
      <c r="I42" s="311"/>
      <c r="J42" s="311"/>
      <c r="K42" s="311"/>
      <c r="L42" s="312"/>
    </row>
    <row r="43" spans="2:12" ht="17.25">
      <c r="B43" s="92"/>
      <c r="C43" s="20"/>
      <c r="D43" s="985"/>
      <c r="E43" s="26"/>
      <c r="F43" s="20"/>
      <c r="G43" s="20"/>
      <c r="H43" s="20"/>
      <c r="I43" s="311"/>
      <c r="J43" s="311"/>
      <c r="K43" s="311"/>
      <c r="L43" s="312"/>
    </row>
    <row r="44" spans="2:12" ht="15">
      <c r="B44" s="92"/>
      <c r="C44" s="20"/>
      <c r="D44" s="13"/>
      <c r="E44" s="26"/>
      <c r="F44" s="20"/>
      <c r="G44" s="20"/>
      <c r="H44" s="20"/>
      <c r="I44" s="311"/>
      <c r="J44" s="311"/>
      <c r="K44" s="311"/>
      <c r="L44" s="312"/>
    </row>
    <row r="45" spans="2:12" ht="15">
      <c r="B45" s="91"/>
      <c r="C45" s="13"/>
      <c r="D45" s="17"/>
      <c r="E45" s="17"/>
      <c r="G45" s="28"/>
      <c r="H45" s="17"/>
      <c r="I45" s="17"/>
      <c r="J45" s="17"/>
      <c r="K45" s="17"/>
      <c r="L45" s="17"/>
    </row>
    <row r="46" spans="2:16" ht="15">
      <c r="B46" s="91"/>
      <c r="C46" s="13"/>
      <c r="D46" s="17"/>
      <c r="E46" s="17"/>
      <c r="F46" s="20"/>
      <c r="G46" s="28"/>
      <c r="H46" s="17"/>
      <c r="I46" s="17"/>
      <c r="J46" s="17"/>
      <c r="K46" s="17"/>
      <c r="L46" s="17"/>
      <c r="P46" s="555"/>
    </row>
    <row r="47" spans="2:16" ht="15">
      <c r="B47" s="91"/>
      <c r="C47" s="13"/>
      <c r="D47" s="17"/>
      <c r="E47" s="17"/>
      <c r="F47" s="20" t="str">
        <f>F3</f>
        <v>AEPTCo subsidiaries in PJM</v>
      </c>
      <c r="G47" s="28"/>
      <c r="H47" s="17"/>
      <c r="I47" s="17"/>
      <c r="J47" s="17"/>
      <c r="K47" s="17"/>
      <c r="L47" s="17"/>
      <c r="P47" s="555"/>
    </row>
    <row r="48" spans="2:16" ht="15">
      <c r="B48" s="91"/>
      <c r="C48" s="13"/>
      <c r="D48" s="17"/>
      <c r="E48" s="19"/>
      <c r="F48" s="20" t="str">
        <f>F4</f>
        <v>Transmission Cost of Service Formula Rate</v>
      </c>
      <c r="G48" s="19"/>
      <c r="H48" s="19"/>
      <c r="I48" s="19"/>
      <c r="J48" s="19"/>
      <c r="K48" s="19"/>
      <c r="L48" s="19"/>
      <c r="P48" s="556"/>
    </row>
    <row r="49" spans="2:16" ht="15">
      <c r="B49" s="91"/>
      <c r="C49" s="13"/>
      <c r="D49" s="17"/>
      <c r="E49" s="19"/>
      <c r="F49" s="12" t="str">
        <f>F5</f>
        <v>Utilizing Actual Cost Data for 2014 with Average Ratebase Balances</v>
      </c>
      <c r="G49" s="19"/>
      <c r="H49" s="19"/>
      <c r="I49" s="19"/>
      <c r="J49" s="19"/>
      <c r="K49" s="19"/>
      <c r="L49" s="19"/>
      <c r="P49" s="556"/>
    </row>
    <row r="50" spans="2:16" ht="15">
      <c r="B50" s="91"/>
      <c r="C50" s="13"/>
      <c r="D50" s="17"/>
      <c r="E50" s="19"/>
      <c r="F50" s="652"/>
      <c r="G50" s="19"/>
      <c r="H50" s="19"/>
      <c r="I50" s="19"/>
      <c r="J50" s="19"/>
      <c r="K50" s="19"/>
      <c r="L50" s="19"/>
      <c r="P50" s="556"/>
    </row>
    <row r="51" spans="2:16" ht="15">
      <c r="B51" s="91"/>
      <c r="C51" s="13"/>
      <c r="D51" s="17"/>
      <c r="E51" s="19"/>
      <c r="F51" s="20" t="str">
        <f>F7</f>
        <v>AEP KENTUCKY TRANSMISSION COMPANY</v>
      </c>
      <c r="G51" s="19"/>
      <c r="H51" s="19"/>
      <c r="I51" s="19"/>
      <c r="J51" s="19"/>
      <c r="K51" s="19"/>
      <c r="L51" s="19"/>
      <c r="P51" s="556"/>
    </row>
    <row r="52" spans="2:16" ht="15">
      <c r="B52" s="91"/>
      <c r="C52" s="13"/>
      <c r="D52" s="17"/>
      <c r="E52" s="32"/>
      <c r="F52" s="32"/>
      <c r="G52" s="32"/>
      <c r="H52" s="32"/>
      <c r="I52" s="32"/>
      <c r="J52" s="32"/>
      <c r="K52" s="32"/>
      <c r="L52" s="19"/>
      <c r="P52" s="556"/>
    </row>
    <row r="53" spans="2:12" ht="15">
      <c r="B53" s="91"/>
      <c r="C53" s="13"/>
      <c r="D53" s="20" t="s">
        <v>562</v>
      </c>
      <c r="E53" s="20" t="s">
        <v>563</v>
      </c>
      <c r="F53" s="20"/>
      <c r="G53" s="20" t="s">
        <v>564</v>
      </c>
      <c r="H53" s="19" t="s">
        <v>555</v>
      </c>
      <c r="I53" s="1169" t="s">
        <v>565</v>
      </c>
      <c r="J53" s="1170"/>
      <c r="K53" s="19"/>
      <c r="L53" s="21" t="s">
        <v>566</v>
      </c>
    </row>
    <row r="54" spans="2:12" ht="15">
      <c r="B54" s="16"/>
      <c r="C54" s="13"/>
      <c r="D54"/>
      <c r="E54"/>
      <c r="F54"/>
      <c r="G54" s="128"/>
      <c r="H54" s="19"/>
      <c r="I54" s="19"/>
      <c r="J54" s="34"/>
      <c r="K54" s="19"/>
      <c r="L54" s="13"/>
    </row>
    <row r="55" spans="2:16" ht="15">
      <c r="B55" s="94"/>
      <c r="C55" s="20"/>
      <c r="D55"/>
      <c r="E55" s="35" t="s">
        <v>533</v>
      </c>
      <c r="F55" s="37"/>
      <c r="G55" s="19"/>
      <c r="H55" s="19"/>
      <c r="I55" s="19"/>
      <c r="J55" s="20"/>
      <c r="K55" s="19"/>
      <c r="L55" s="36" t="s">
        <v>559</v>
      </c>
      <c r="P55" s="555"/>
    </row>
    <row r="56" spans="2:12" ht="15">
      <c r="B56" s="16"/>
      <c r="C56" s="25"/>
      <c r="D56" s="55" t="s">
        <v>532</v>
      </c>
      <c r="E56" s="117" t="s">
        <v>553</v>
      </c>
      <c r="F56" s="19"/>
      <c r="G56" s="55" t="s">
        <v>519</v>
      </c>
      <c r="H56" s="39"/>
      <c r="I56" s="1180" t="s">
        <v>560</v>
      </c>
      <c r="J56" s="1181"/>
      <c r="K56" s="39"/>
      <c r="L56" s="55" t="s">
        <v>556</v>
      </c>
    </row>
    <row r="57" spans="2:12" ht="15">
      <c r="B57" s="97" t="str">
        <f>B9</f>
        <v>Line</v>
      </c>
      <c r="C57" s="20"/>
      <c r="D57" s="17"/>
      <c r="E57" s="19"/>
      <c r="F57" s="19"/>
      <c r="G57" s="472" t="s">
        <v>984</v>
      </c>
      <c r="H57" s="19"/>
      <c r="I57" s="19"/>
      <c r="J57" s="19"/>
      <c r="K57" s="19"/>
      <c r="L57" s="19"/>
    </row>
    <row r="58" spans="2:12" ht="15" thickBot="1">
      <c r="B58" s="93" t="str">
        <f>B10</f>
        <v>No.</v>
      </c>
      <c r="C58" s="20"/>
      <c r="D58" s="17" t="s">
        <v>520</v>
      </c>
      <c r="E58" s="41"/>
      <c r="F58" s="41"/>
      <c r="G58" s="29"/>
      <c r="H58" s="29"/>
      <c r="I58" s="49"/>
      <c r="J58" s="29"/>
      <c r="K58" s="29"/>
      <c r="L58" s="29"/>
    </row>
    <row r="59" spans="2:12" ht="15">
      <c r="B59" s="92">
        <f>+B41+1</f>
        <v>18</v>
      </c>
      <c r="C59" s="20"/>
      <c r="D59" s="1019" t="s">
        <v>877</v>
      </c>
      <c r="E59" s="29"/>
      <c r="F59" s="29"/>
      <c r="G59" s="122"/>
      <c r="H59" s="122"/>
      <c r="I59" s="49"/>
      <c r="J59" s="50"/>
      <c r="K59" s="29"/>
      <c r="L59" s="122"/>
    </row>
    <row r="60" spans="2:12" ht="15">
      <c r="B60" s="92">
        <f aca="true" t="shared" si="0" ref="B60:B70">+B59+1</f>
        <v>19</v>
      </c>
      <c r="C60" s="20"/>
      <c r="D60" s="1019" t="s">
        <v>877</v>
      </c>
      <c r="E60" s="29"/>
      <c r="F60" s="29"/>
      <c r="G60" s="122"/>
      <c r="H60" s="122"/>
      <c r="I60" s="49"/>
      <c r="J60" s="50"/>
      <c r="K60" s="29"/>
      <c r="L60" s="122"/>
    </row>
    <row r="61" spans="2:12" ht="15">
      <c r="B61" s="92">
        <f t="shared" si="0"/>
        <v>20</v>
      </c>
      <c r="C61" s="44"/>
      <c r="D61" s="45" t="s">
        <v>568</v>
      </c>
      <c r="E61" s="29" t="str">
        <f>"(Worksheet A ln "&amp;'WS A  - RB Support '!A19&amp;".E &amp; Ln  "&amp;B227&amp;")"</f>
        <v>(Worksheet A ln 3.E &amp; Ln  140)</v>
      </c>
      <c r="F61" s="29"/>
      <c r="G61" s="122">
        <f>+'WS A  - RB Support '!G19</f>
        <v>0</v>
      </c>
      <c r="H61" s="122"/>
      <c r="I61" s="284" t="s">
        <v>569</v>
      </c>
      <c r="J61" s="29"/>
      <c r="K61" s="278"/>
      <c r="L61" s="285">
        <f>+L227</f>
        <v>0</v>
      </c>
    </row>
    <row r="62" spans="2:12" ht="15">
      <c r="B62" s="92">
        <f t="shared" si="0"/>
        <v>21</v>
      </c>
      <c r="C62" s="44"/>
      <c r="D62" s="61" t="s">
        <v>5</v>
      </c>
      <c r="E62" s="29" t="str">
        <f>"(Worksheet A ln "&amp;'WS A  - RB Support '!A21&amp;".E &amp; Ln  "&amp;B229&amp;")"</f>
        <v>(Worksheet A ln 4.E &amp; Ln  141)</v>
      </c>
      <c r="F62" s="29"/>
      <c r="G62" s="122">
        <f>-+'WS A  - RB Support '!G21</f>
        <v>0</v>
      </c>
      <c r="H62" s="122"/>
      <c r="I62" s="284" t="s">
        <v>561</v>
      </c>
      <c r="J62" s="50">
        <f aca="true" t="shared" si="1" ref="J62:J69">VLOOKUP(I62,APCo_TU_Allocators,2,FALSE)</f>
        <v>1</v>
      </c>
      <c r="K62" s="278"/>
      <c r="L62" s="285">
        <f>+G62*J62</f>
        <v>0</v>
      </c>
    </row>
    <row r="63" spans="2:12" ht="15">
      <c r="B63" s="92">
        <f t="shared" si="0"/>
        <v>22</v>
      </c>
      <c r="C63" s="44"/>
      <c r="D63" s="466" t="s">
        <v>241</v>
      </c>
      <c r="E63" s="46"/>
      <c r="F63" s="46"/>
      <c r="G63" s="477" t="s">
        <v>3</v>
      </c>
      <c r="H63" s="707"/>
      <c r="I63" s="284" t="s">
        <v>567</v>
      </c>
      <c r="J63" s="50">
        <f t="shared" si="1"/>
        <v>0</v>
      </c>
      <c r="K63" s="278"/>
      <c r="L63" s="477" t="s">
        <v>3</v>
      </c>
    </row>
    <row r="64" spans="2:16" ht="15">
      <c r="B64" s="92">
        <f t="shared" si="0"/>
        <v>23</v>
      </c>
      <c r="C64" s="44"/>
      <c r="D64" s="466" t="s">
        <v>242</v>
      </c>
      <c r="E64" s="41"/>
      <c r="F64" s="41"/>
      <c r="G64" s="477" t="s">
        <v>3</v>
      </c>
      <c r="H64" s="707"/>
      <c r="I64" s="32" t="s">
        <v>567</v>
      </c>
      <c r="J64" s="50">
        <f t="shared" si="1"/>
        <v>0</v>
      </c>
      <c r="K64" s="19"/>
      <c r="L64" s="477" t="s">
        <v>3</v>
      </c>
      <c r="P64" s="554"/>
    </row>
    <row r="65" spans="2:12" ht="15">
      <c r="B65" s="92">
        <f t="shared" si="0"/>
        <v>24</v>
      </c>
      <c r="C65" s="44"/>
      <c r="D65" s="1019" t="s">
        <v>877</v>
      </c>
      <c r="E65" s="29"/>
      <c r="F65" s="29"/>
      <c r="G65" s="122"/>
      <c r="H65" s="122"/>
      <c r="I65" s="49"/>
      <c r="J65" s="50"/>
      <c r="K65" s="29"/>
      <c r="L65" s="122"/>
    </row>
    <row r="66" spans="2:12" ht="15">
      <c r="B66" s="92">
        <f t="shared" si="0"/>
        <v>25</v>
      </c>
      <c r="C66" s="44"/>
      <c r="D66" s="1019" t="s">
        <v>877</v>
      </c>
      <c r="E66" s="29"/>
      <c r="F66" s="29"/>
      <c r="G66" s="122"/>
      <c r="H66" s="122"/>
      <c r="I66" s="49"/>
      <c r="J66" s="50"/>
      <c r="K66" s="29"/>
      <c r="L66" s="122"/>
    </row>
    <row r="67" spans="2:12" ht="15">
      <c r="B67" s="92">
        <f t="shared" si="0"/>
        <v>26</v>
      </c>
      <c r="C67" s="44"/>
      <c r="D67" s="17" t="s">
        <v>570</v>
      </c>
      <c r="E67" s="29" t="s">
        <v>469</v>
      </c>
      <c r="F67" s="29"/>
      <c r="G67" s="122">
        <f>+'WS A  - RB Support '!G27</f>
        <v>0</v>
      </c>
      <c r="H67" s="122"/>
      <c r="I67" s="49" t="s">
        <v>571</v>
      </c>
      <c r="J67" s="50">
        <f t="shared" si="1"/>
        <v>0.9987295825771325</v>
      </c>
      <c r="K67" s="29"/>
      <c r="L67" s="122">
        <f>+J67*G67</f>
        <v>0</v>
      </c>
    </row>
    <row r="68" spans="2:12" ht="15">
      <c r="B68" s="92">
        <f t="shared" si="0"/>
        <v>27</v>
      </c>
      <c r="C68" s="44"/>
      <c r="D68" s="42" t="s">
        <v>4</v>
      </c>
      <c r="E68" s="29" t="s">
        <v>470</v>
      </c>
      <c r="F68" s="29"/>
      <c r="G68" s="122">
        <f>-'WS A  - RB Support '!G29</f>
        <v>0</v>
      </c>
      <c r="H68" s="122"/>
      <c r="I68" s="49" t="s">
        <v>571</v>
      </c>
      <c r="J68" s="50">
        <f t="shared" si="1"/>
        <v>0.9987295825771325</v>
      </c>
      <c r="K68" s="29"/>
      <c r="L68" s="122">
        <f>+G68*J68</f>
        <v>0</v>
      </c>
    </row>
    <row r="69" spans="2:15" ht="15" thickBot="1">
      <c r="B69" s="92">
        <f t="shared" si="0"/>
        <v>28</v>
      </c>
      <c r="C69" s="44"/>
      <c r="D69" s="17" t="s">
        <v>572</v>
      </c>
      <c r="E69" s="29" t="s">
        <v>471</v>
      </c>
      <c r="F69" s="29"/>
      <c r="G69" s="123">
        <f>+'WS A  - RB Support '!G31</f>
        <v>0</v>
      </c>
      <c r="H69" s="122"/>
      <c r="I69" s="49" t="s">
        <v>571</v>
      </c>
      <c r="J69" s="50">
        <f t="shared" si="1"/>
        <v>0.9987295825771325</v>
      </c>
      <c r="K69" s="29"/>
      <c r="L69" s="123">
        <f>+J69*G69</f>
        <v>0</v>
      </c>
      <c r="O69" s="33"/>
    </row>
    <row r="70" spans="2:15" ht="15">
      <c r="B70" s="94">
        <f t="shared" si="0"/>
        <v>29</v>
      </c>
      <c r="C70" s="44"/>
      <c r="D70" s="17" t="s">
        <v>518</v>
      </c>
      <c r="E70" s="29" t="str">
        <f>"(Sum of Lines: "&amp;B61&amp;" to "&amp;B64&amp;" &amp; "&amp;B67&amp;" to "&amp;B69&amp;")"</f>
        <v>(Sum of Lines: 20 to 23 &amp; 26 to 28)</v>
      </c>
      <c r="F70" s="708"/>
      <c r="G70" s="122">
        <f>SUM(G59:G69)</f>
        <v>0</v>
      </c>
      <c r="H70" s="122"/>
      <c r="I70" s="292" t="s">
        <v>324</v>
      </c>
      <c r="J70" s="604">
        <f>IF(G70=0,0,L70/G70)</f>
        <v>0</v>
      </c>
      <c r="K70" s="29"/>
      <c r="L70" s="122">
        <f>SUM(L59:L69)</f>
        <v>0</v>
      </c>
      <c r="O70" s="33"/>
    </row>
    <row r="71" spans="2:15" ht="15">
      <c r="B71" s="94"/>
      <c r="C71" s="20"/>
      <c r="D71" s="17"/>
      <c r="E71" s="696"/>
      <c r="F71" s="708"/>
      <c r="G71" s="122"/>
      <c r="H71" s="122"/>
      <c r="I71" s="292" t="s">
        <v>691</v>
      </c>
      <c r="J71" s="1073">
        <f>IF(G71=0,0,L71/G71)</f>
        <v>0</v>
      </c>
      <c r="K71" s="29"/>
      <c r="L71" s="122"/>
      <c r="O71" s="33"/>
    </row>
    <row r="72" spans="2:15" ht="15">
      <c r="B72" s="92">
        <f>+B70+1</f>
        <v>30</v>
      </c>
      <c r="C72" s="20"/>
      <c r="D72" s="17" t="s">
        <v>496</v>
      </c>
      <c r="E72" s="41"/>
      <c r="F72" s="41"/>
      <c r="G72" s="122"/>
      <c r="H72" s="294"/>
      <c r="I72" s="49"/>
      <c r="J72" s="295"/>
      <c r="K72" s="29"/>
      <c r="L72" s="122"/>
      <c r="O72" s="3"/>
    </row>
    <row r="73" spans="2:15" ht="15">
      <c r="B73" s="92">
        <f aca="true" t="shared" si="2" ref="B73:B87">+B72+1</f>
        <v>31</v>
      </c>
      <c r="C73" s="20"/>
      <c r="D73" s="1019" t="s">
        <v>877</v>
      </c>
      <c r="E73" s="29"/>
      <c r="F73" s="29"/>
      <c r="G73" s="122"/>
      <c r="H73" s="122"/>
      <c r="I73" s="49"/>
      <c r="J73" s="50"/>
      <c r="K73" s="29"/>
      <c r="L73" s="122"/>
      <c r="O73" s="3"/>
    </row>
    <row r="74" spans="2:15" ht="15">
      <c r="B74" s="92">
        <f t="shared" si="2"/>
        <v>32</v>
      </c>
      <c r="C74" s="20"/>
      <c r="D74" s="1019" t="s">
        <v>877</v>
      </c>
      <c r="E74" s="29"/>
      <c r="F74" s="29"/>
      <c r="G74" s="122"/>
      <c r="H74" s="122"/>
      <c r="I74" s="49"/>
      <c r="J74" s="50"/>
      <c r="K74" s="29"/>
      <c r="L74" s="122"/>
      <c r="O74" s="3"/>
    </row>
    <row r="75" spans="2:15" ht="15">
      <c r="B75" s="92">
        <f t="shared" si="2"/>
        <v>33</v>
      </c>
      <c r="C75" s="44"/>
      <c r="D75" s="45" t="str">
        <f>D61</f>
        <v>  Transmission</v>
      </c>
      <c r="E75" s="29" t="s">
        <v>472</v>
      </c>
      <c r="F75" s="46"/>
      <c r="G75" s="285">
        <f>+'WS A  - RB Support '!G43</f>
        <v>0</v>
      </c>
      <c r="H75" s="122"/>
      <c r="I75" s="296" t="s">
        <v>499</v>
      </c>
      <c r="J75" s="297">
        <f>IF(G75=0,1,L75/G75)</f>
        <v>1</v>
      </c>
      <c r="K75" s="278"/>
      <c r="L75" s="122">
        <f>+'WS A  - RB Support '!G75</f>
        <v>0</v>
      </c>
      <c r="O75" s="3"/>
    </row>
    <row r="76" spans="2:15" ht="15">
      <c r="B76" s="92">
        <f t="shared" si="2"/>
        <v>34</v>
      </c>
      <c r="C76" s="44"/>
      <c r="D76" s="42" t="s">
        <v>5</v>
      </c>
      <c r="E76" s="29" t="s">
        <v>473</v>
      </c>
      <c r="F76" s="46"/>
      <c r="G76" s="122">
        <f>-'WS A  - RB Support '!G45</f>
        <v>0</v>
      </c>
      <c r="H76" s="122"/>
      <c r="I76" s="296" t="s">
        <v>499</v>
      </c>
      <c r="J76" s="50">
        <f>+J75</f>
        <v>1</v>
      </c>
      <c r="K76" s="278"/>
      <c r="L76" s="122">
        <f>+J76*G76</f>
        <v>0</v>
      </c>
      <c r="O76" s="3"/>
    </row>
    <row r="77" spans="2:15" ht="15">
      <c r="B77" s="92">
        <f t="shared" si="2"/>
        <v>35</v>
      </c>
      <c r="C77" s="44"/>
      <c r="D77" s="466" t="s">
        <v>241</v>
      </c>
      <c r="E77" s="46"/>
      <c r="F77" s="46"/>
      <c r="G77" s="477" t="s">
        <v>3</v>
      </c>
      <c r="H77" s="707"/>
      <c r="I77" s="284" t="s">
        <v>569</v>
      </c>
      <c r="J77" s="50">
        <f aca="true" t="shared" si="3" ref="J77:J86">VLOOKUP(I77,APCo_TU_Allocators,2,FALSE)</f>
        <v>1</v>
      </c>
      <c r="K77" s="278"/>
      <c r="L77" s="477" t="s">
        <v>3</v>
      </c>
      <c r="O77" s="3"/>
    </row>
    <row r="78" spans="2:15" ht="15">
      <c r="B78" s="92">
        <f t="shared" si="2"/>
        <v>36</v>
      </c>
      <c r="C78" s="44"/>
      <c r="D78" s="466" t="s">
        <v>244</v>
      </c>
      <c r="E78" s="46"/>
      <c r="F78" s="46"/>
      <c r="G78" s="477" t="s">
        <v>3</v>
      </c>
      <c r="H78" s="707"/>
      <c r="I78" s="284" t="s">
        <v>569</v>
      </c>
      <c r="J78" s="50">
        <f t="shared" si="3"/>
        <v>1</v>
      </c>
      <c r="K78" s="278"/>
      <c r="L78" s="477" t="s">
        <v>3</v>
      </c>
      <c r="O78" s="3"/>
    </row>
    <row r="79" spans="2:15" ht="15">
      <c r="B79" s="92">
        <f t="shared" si="2"/>
        <v>37</v>
      </c>
      <c r="C79" s="44"/>
      <c r="D79" s="466" t="str">
        <f>"     Plus: Additional Transmission Depreciation for "&amp;N1+1&amp;"  (ln "&amp;B175&amp;")"</f>
        <v>     Plus: Additional Transmission Depreciation for 2015  (ln 108)</v>
      </c>
      <c r="E79" s="46"/>
      <c r="F79" s="46"/>
      <c r="G79" s="477" t="s">
        <v>3</v>
      </c>
      <c r="H79" s="707"/>
      <c r="I79" s="550" t="s">
        <v>498</v>
      </c>
      <c r="J79" s="50">
        <f t="shared" si="3"/>
        <v>1</v>
      </c>
      <c r="K79" s="278"/>
      <c r="L79" s="477" t="s">
        <v>3</v>
      </c>
      <c r="O79" s="3"/>
    </row>
    <row r="80" spans="2:15" ht="15">
      <c r="B80" s="92">
        <f t="shared" si="2"/>
        <v>38</v>
      </c>
      <c r="C80" s="44"/>
      <c r="D80" s="467" t="str">
        <f>"     Plus: Additional General &amp; Intangible Depreciation for "&amp;N1+1&amp;" (ln "&amp;B174&amp;" + ln "&amp;B175&amp;")"</f>
        <v>     Plus: Additional General &amp; Intangible Depreciation for 2015 (ln 107 + ln 108)</v>
      </c>
      <c r="E80" s="46"/>
      <c r="F80" s="46"/>
      <c r="G80" s="477" t="s">
        <v>3</v>
      </c>
      <c r="H80" s="707"/>
      <c r="I80" s="284" t="s">
        <v>571</v>
      </c>
      <c r="J80" s="50">
        <f t="shared" si="3"/>
        <v>0.9987295825771325</v>
      </c>
      <c r="K80" s="278"/>
      <c r="L80" s="477" t="s">
        <v>3</v>
      </c>
      <c r="O80" s="3"/>
    </row>
    <row r="81" spans="2:15" ht="15">
      <c r="B81" s="92">
        <f t="shared" si="2"/>
        <v>39</v>
      </c>
      <c r="C81" s="44"/>
      <c r="D81" s="466" t="s">
        <v>243</v>
      </c>
      <c r="E81" s="46"/>
      <c r="F81" s="46"/>
      <c r="G81" s="477" t="s">
        <v>3</v>
      </c>
      <c r="H81" s="707"/>
      <c r="I81" s="284" t="s">
        <v>569</v>
      </c>
      <c r="J81" s="50">
        <f t="shared" si="3"/>
        <v>1</v>
      </c>
      <c r="K81" s="278"/>
      <c r="L81" s="477" t="s">
        <v>3</v>
      </c>
      <c r="O81" s="3"/>
    </row>
    <row r="82" spans="2:15" ht="15">
      <c r="B82" s="92">
        <f t="shared" si="2"/>
        <v>40</v>
      </c>
      <c r="C82" s="44"/>
      <c r="D82" s="1019" t="s">
        <v>877</v>
      </c>
      <c r="E82" s="29"/>
      <c r="F82" s="29"/>
      <c r="G82" s="122"/>
      <c r="H82" s="122"/>
      <c r="I82" s="49"/>
      <c r="J82" s="50"/>
      <c r="K82" s="29"/>
      <c r="L82" s="122"/>
      <c r="O82" s="3"/>
    </row>
    <row r="83" spans="2:15" ht="15">
      <c r="B83" s="92">
        <f t="shared" si="2"/>
        <v>41</v>
      </c>
      <c r="C83" s="44"/>
      <c r="D83" s="1019" t="s">
        <v>877</v>
      </c>
      <c r="E83" s="29"/>
      <c r="F83" s="29"/>
      <c r="G83" s="122"/>
      <c r="H83" s="122"/>
      <c r="I83" s="49"/>
      <c r="J83" s="50"/>
      <c r="K83" s="29"/>
      <c r="L83" s="122"/>
      <c r="O83" s="3"/>
    </row>
    <row r="84" spans="2:15" ht="15">
      <c r="B84" s="92">
        <f t="shared" si="2"/>
        <v>42</v>
      </c>
      <c r="C84" s="208"/>
      <c r="D84" s="57" t="str">
        <f>+D67</f>
        <v>  General Plant   </v>
      </c>
      <c r="E84" s="29" t="s">
        <v>474</v>
      </c>
      <c r="F84" s="29"/>
      <c r="G84" s="129">
        <f>+'WS A  - RB Support '!G51</f>
        <v>0</v>
      </c>
      <c r="H84" s="122"/>
      <c r="I84" s="49" t="s">
        <v>571</v>
      </c>
      <c r="J84" s="50">
        <f t="shared" si="3"/>
        <v>0.9987295825771325</v>
      </c>
      <c r="K84" s="29"/>
      <c r="L84" s="122">
        <f>+J84*G84</f>
        <v>0</v>
      </c>
      <c r="O84" s="3"/>
    </row>
    <row r="85" spans="2:15" ht="15">
      <c r="B85" s="92">
        <f t="shared" si="2"/>
        <v>43</v>
      </c>
      <c r="C85" s="208"/>
      <c r="D85" s="42" t="s">
        <v>4</v>
      </c>
      <c r="E85" s="29" t="s">
        <v>475</v>
      </c>
      <c r="F85" s="29"/>
      <c r="G85" s="122">
        <f>-'WS A  - RB Support '!G53</f>
        <v>0</v>
      </c>
      <c r="H85" s="122"/>
      <c r="I85" s="49" t="s">
        <v>571</v>
      </c>
      <c r="J85" s="50">
        <f t="shared" si="3"/>
        <v>0.9987295825771325</v>
      </c>
      <c r="K85" s="29"/>
      <c r="L85" s="122">
        <f>+J85*G85</f>
        <v>0</v>
      </c>
      <c r="O85" s="3"/>
    </row>
    <row r="86" spans="2:15" ht="15" thickBot="1">
      <c r="B86" s="92">
        <f t="shared" si="2"/>
        <v>44</v>
      </c>
      <c r="C86" s="208"/>
      <c r="D86" s="57" t="str">
        <f>+D69</f>
        <v>  Intangible Plant</v>
      </c>
      <c r="E86" s="29" t="s">
        <v>476</v>
      </c>
      <c r="F86" s="29"/>
      <c r="G86" s="123">
        <f>+'WS A  - RB Support '!G55</f>
        <v>0</v>
      </c>
      <c r="H86" s="122"/>
      <c r="I86" s="49" t="s">
        <v>571</v>
      </c>
      <c r="J86" s="50">
        <f t="shared" si="3"/>
        <v>0.9987295825771325</v>
      </c>
      <c r="K86" s="29"/>
      <c r="L86" s="123">
        <f>+J86*G86</f>
        <v>0</v>
      </c>
      <c r="O86" s="3"/>
    </row>
    <row r="87" spans="2:15" ht="15">
      <c r="B87" s="92">
        <f t="shared" si="2"/>
        <v>45</v>
      </c>
      <c r="C87" s="208"/>
      <c r="D87" s="57" t="s">
        <v>517</v>
      </c>
      <c r="E87" s="29" t="str">
        <f>"(Sum of Lines: "&amp;B75&amp;" to "&amp;B81&amp;" &amp; "&amp;B84&amp;" to "&amp;B86&amp;")"</f>
        <v>(Sum of Lines: 33 to 39 &amp; 42 to 44)</v>
      </c>
      <c r="F87" s="695"/>
      <c r="G87" s="122">
        <f>SUM(G73:G86)</f>
        <v>0</v>
      </c>
      <c r="H87" s="122"/>
      <c r="I87" s="49"/>
      <c r="J87" s="29"/>
      <c r="K87" s="122"/>
      <c r="L87" s="122">
        <f>SUM(L73:L86)</f>
        <v>0</v>
      </c>
      <c r="O87" s="3"/>
    </row>
    <row r="88" spans="2:15" ht="15">
      <c r="B88" s="92"/>
      <c r="C88" s="20"/>
      <c r="D88" s="13"/>
      <c r="E88" s="709"/>
      <c r="F88" s="695"/>
      <c r="G88" s="122"/>
      <c r="H88" s="122"/>
      <c r="I88" s="49"/>
      <c r="J88" s="298"/>
      <c r="K88" s="29"/>
      <c r="L88" s="122"/>
      <c r="O88" s="3"/>
    </row>
    <row r="89" spans="2:15" ht="15">
      <c r="B89" s="92">
        <f>+B87+1</f>
        <v>46</v>
      </c>
      <c r="C89" s="20"/>
      <c r="D89" s="17" t="s">
        <v>521</v>
      </c>
      <c r="E89" s="41"/>
      <c r="F89" s="41"/>
      <c r="G89" s="122"/>
      <c r="H89" s="122"/>
      <c r="I89" s="49"/>
      <c r="J89" s="29"/>
      <c r="K89" s="29"/>
      <c r="L89" s="122"/>
      <c r="O89" s="3"/>
    </row>
    <row r="90" spans="2:15" ht="15">
      <c r="B90" s="94">
        <f aca="true" t="shared" si="4" ref="B90:B100">+B89+1</f>
        <v>47</v>
      </c>
      <c r="C90" s="44"/>
      <c r="D90" s="1019" t="s">
        <v>877</v>
      </c>
      <c r="E90" s="29"/>
      <c r="F90" s="29"/>
      <c r="G90" s="122"/>
      <c r="H90" s="122"/>
      <c r="I90" s="49"/>
      <c r="J90" s="50"/>
      <c r="K90" s="29"/>
      <c r="L90" s="122"/>
      <c r="O90" s="3"/>
    </row>
    <row r="91" spans="2:15" ht="15">
      <c r="B91" s="94">
        <f t="shared" si="4"/>
        <v>48</v>
      </c>
      <c r="C91" s="44"/>
      <c r="D91" s="42" t="str">
        <f>+D75</f>
        <v>  Transmission</v>
      </c>
      <c r="E91" s="29" t="s">
        <v>453</v>
      </c>
      <c r="F91" s="29"/>
      <c r="G91" s="122">
        <f>+G61+G62-G75-G76</f>
        <v>0</v>
      </c>
      <c r="H91" s="122"/>
      <c r="I91" s="49"/>
      <c r="J91" s="297"/>
      <c r="K91" s="29"/>
      <c r="L91" s="122">
        <f>+L61+L62-L75-L76</f>
        <v>0</v>
      </c>
      <c r="O91" s="3"/>
    </row>
    <row r="92" spans="2:15" ht="15">
      <c r="B92" s="94">
        <f t="shared" si="4"/>
        <v>49</v>
      </c>
      <c r="C92" s="44"/>
      <c r="D92" s="45" t="str">
        <f>"     Plus: Transmission Plant-in-Service Additions (ln "&amp;B63&amp;" - ln "&amp;B77&amp;")"</f>
        <v>     Plus: Transmission Plant-in-Service Additions (ln 22 - ln 35)</v>
      </c>
      <c r="E92" s="29"/>
      <c r="F92" s="29"/>
      <c r="G92" s="477" t="s">
        <v>3</v>
      </c>
      <c r="H92" s="107"/>
      <c r="I92" s="32"/>
      <c r="J92" s="43"/>
      <c r="K92" s="19"/>
      <c r="L92" s="477" t="s">
        <v>3</v>
      </c>
      <c r="O92" s="3"/>
    </row>
    <row r="93" spans="2:15" ht="15">
      <c r="B93" s="94">
        <f t="shared" si="4"/>
        <v>50</v>
      </c>
      <c r="C93" s="44"/>
      <c r="D93" s="45" t="str">
        <f>"     Plus: Additional Trans Plant on Transferred Assets  (ln "&amp;B64&amp;" - ln "&amp;B78&amp;")"</f>
        <v>     Plus: Additional Trans Plant on Transferred Assets  (ln 23 - ln 36)</v>
      </c>
      <c r="E93" s="29"/>
      <c r="F93" s="29"/>
      <c r="G93" s="477" t="s">
        <v>3</v>
      </c>
      <c r="H93" s="107"/>
      <c r="I93" s="32"/>
      <c r="J93" s="43"/>
      <c r="K93" s="19"/>
      <c r="L93" s="477" t="s">
        <v>3</v>
      </c>
      <c r="O93" s="3"/>
    </row>
    <row r="94" spans="2:15" ht="15">
      <c r="B94" s="94">
        <f t="shared" si="4"/>
        <v>51</v>
      </c>
      <c r="C94" s="44"/>
      <c r="D94" s="466" t="str">
        <f>"     Plus: Additional Transmission Depreciation for "&amp;N1+1&amp;"  (-ln "&amp;B79&amp;")"</f>
        <v>     Plus: Additional Transmission Depreciation for 2015  (-ln 37)</v>
      </c>
      <c r="E94" s="29"/>
      <c r="F94" s="29"/>
      <c r="G94" s="477" t="s">
        <v>3</v>
      </c>
      <c r="H94" s="107"/>
      <c r="I94" s="32"/>
      <c r="J94" s="43"/>
      <c r="K94" s="19"/>
      <c r="L94" s="477" t="s">
        <v>3</v>
      </c>
      <c r="O94" s="3"/>
    </row>
    <row r="95" spans="2:15" ht="15">
      <c r="B95" s="94">
        <f t="shared" si="4"/>
        <v>52</v>
      </c>
      <c r="C95" s="44"/>
      <c r="D95" s="467" t="str">
        <f>"     Plus: Additional General &amp; Intangible Depreciation for "&amp;N1+1&amp;" (-ln "&amp;B80&amp;")"</f>
        <v>     Plus: Additional General &amp; Intangible Depreciation for 2015 (-ln 38)</v>
      </c>
      <c r="E95" s="29"/>
      <c r="F95" s="29"/>
      <c r="G95" s="477" t="s">
        <v>3</v>
      </c>
      <c r="H95" s="107"/>
      <c r="I95" s="32"/>
      <c r="J95" s="43"/>
      <c r="K95" s="19"/>
      <c r="L95" s="477" t="s">
        <v>3</v>
      </c>
      <c r="O95" s="3"/>
    </row>
    <row r="96" spans="2:15" ht="15">
      <c r="B96" s="94">
        <f t="shared" si="4"/>
        <v>53</v>
      </c>
      <c r="C96" s="44"/>
      <c r="D96" s="466" t="str">
        <f>"     Plus: Additional Accum Deprec on Transferred Assets (Worksheet I) (-ln "&amp;B81&amp;")"</f>
        <v>     Plus: Additional Accum Deprec on Transferred Assets (Worksheet I) (-ln 39)</v>
      </c>
      <c r="E96" s="29"/>
      <c r="F96" s="29"/>
      <c r="G96" s="477" t="s">
        <v>3</v>
      </c>
      <c r="H96" s="107"/>
      <c r="I96" s="32"/>
      <c r="J96" s="43"/>
      <c r="K96" s="19"/>
      <c r="L96" s="477" t="s">
        <v>3</v>
      </c>
      <c r="O96" s="3"/>
    </row>
    <row r="97" spans="2:15" ht="15">
      <c r="B97" s="94">
        <f t="shared" si="4"/>
        <v>54</v>
      </c>
      <c r="C97" s="44"/>
      <c r="D97" s="1019" t="s">
        <v>877</v>
      </c>
      <c r="E97" s="29"/>
      <c r="F97" s="29"/>
      <c r="G97" s="122"/>
      <c r="H97" s="122"/>
      <c r="I97" s="49"/>
      <c r="J97" s="50"/>
      <c r="K97" s="29"/>
      <c r="L97" s="122"/>
      <c r="O97" s="3"/>
    </row>
    <row r="98" spans="2:15" ht="15">
      <c r="B98" s="94">
        <f t="shared" si="4"/>
        <v>55</v>
      </c>
      <c r="C98" s="44"/>
      <c r="D98" s="42" t="str">
        <f>+D84</f>
        <v>  General Plant   </v>
      </c>
      <c r="E98" s="29" t="str">
        <f>" (ln "&amp;B67&amp;" + ln "&amp;B68&amp;" - ln "&amp;B84&amp;" - ln "&amp;B85&amp;")"</f>
        <v> (ln 26 + ln 27 - ln 42 - ln 43)</v>
      </c>
      <c r="F98" s="29"/>
      <c r="G98" s="122">
        <f>+G67+G68-G84-G85</f>
        <v>0</v>
      </c>
      <c r="H98" s="122"/>
      <c r="I98" s="49"/>
      <c r="J98" s="298"/>
      <c r="K98" s="29"/>
      <c r="L98" s="122">
        <f>+L67+L68-L84-L85</f>
        <v>0</v>
      </c>
      <c r="O98" s="3"/>
    </row>
    <row r="99" spans="2:15" ht="15" thickBot="1">
      <c r="B99" s="94">
        <f t="shared" si="4"/>
        <v>56</v>
      </c>
      <c r="C99" s="44"/>
      <c r="D99" s="42" t="str">
        <f>+D86</f>
        <v>  Intangible Plant</v>
      </c>
      <c r="E99" s="29" t="str">
        <f>" (ln "&amp;B69&amp;" - ln "&amp;B86&amp;")"</f>
        <v> (ln 28 - ln 44)</v>
      </c>
      <c r="F99" s="29"/>
      <c r="G99" s="123">
        <f>+G69-G86</f>
        <v>0</v>
      </c>
      <c r="H99" s="122"/>
      <c r="I99" s="49"/>
      <c r="J99" s="298"/>
      <c r="K99" s="29"/>
      <c r="L99" s="123">
        <f>+L69-L86</f>
        <v>0</v>
      </c>
      <c r="O99" s="3"/>
    </row>
    <row r="100" spans="2:15" ht="15">
      <c r="B100" s="94">
        <f t="shared" si="4"/>
        <v>57</v>
      </c>
      <c r="C100" s="44"/>
      <c r="D100" s="42" t="s">
        <v>516</v>
      </c>
      <c r="E100" s="29" t="str">
        <f>"(Sum of Lines: "&amp;B91&amp;" to "&amp;B96&amp;" &amp; "&amp;B98&amp;", "&amp;B99&amp;")"</f>
        <v>(Sum of Lines: 48 to 53 &amp; 55, 56)</v>
      </c>
      <c r="F100" s="29"/>
      <c r="G100" s="122">
        <f>SUM(G90:G99)</f>
        <v>0</v>
      </c>
      <c r="H100" s="122"/>
      <c r="I100" s="258" t="s">
        <v>323</v>
      </c>
      <c r="J100" s="604">
        <f>IF(G100=0,0,L100/G100)</f>
        <v>0</v>
      </c>
      <c r="K100" s="29"/>
      <c r="L100" s="122">
        <f>SUM(L91:L99)</f>
        <v>0</v>
      </c>
      <c r="O100" s="3"/>
    </row>
    <row r="101" spans="2:15" ht="15">
      <c r="B101" s="92"/>
      <c r="C101" s="20"/>
      <c r="D101" s="17"/>
      <c r="E101" s="29"/>
      <c r="F101" s="29"/>
      <c r="G101" s="122"/>
      <c r="H101" s="122"/>
      <c r="I101" s="15"/>
      <c r="J101" s="299"/>
      <c r="K101" s="29"/>
      <c r="L101" s="122"/>
      <c r="O101" s="3"/>
    </row>
    <row r="102" spans="2:15" ht="15">
      <c r="B102" s="92"/>
      <c r="C102" s="20"/>
      <c r="D102" s="13"/>
      <c r="G102" s="707"/>
      <c r="H102" s="707"/>
      <c r="I102"/>
      <c r="J102"/>
      <c r="K102"/>
      <c r="L102"/>
      <c r="O102" s="3"/>
    </row>
    <row r="103" spans="2:15" ht="15">
      <c r="B103" s="92">
        <f>+B100+1</f>
        <v>58</v>
      </c>
      <c r="C103" s="20"/>
      <c r="D103" s="17" t="s">
        <v>950</v>
      </c>
      <c r="E103" s="29" t="s">
        <v>926</v>
      </c>
      <c r="F103" s="49"/>
      <c r="G103" s="707"/>
      <c r="H103" s="707"/>
      <c r="I103"/>
      <c r="J103"/>
      <c r="K103"/>
      <c r="L103"/>
      <c r="O103" s="3"/>
    </row>
    <row r="104" spans="2:15" ht="15">
      <c r="B104" s="94">
        <f aca="true" t="shared" si="5" ref="B104:B109">+B103+1</f>
        <v>59</v>
      </c>
      <c r="C104" s="44"/>
      <c r="D104" s="61" t="s">
        <v>653</v>
      </c>
      <c r="E104" s="29" t="str">
        <f>"(Worksheet B, ln "&amp;'WS B ADIT &amp; ITC'!A15&amp;" &amp; ln "&amp;'WS B ADIT &amp; ITC'!A18&amp;".E)"</f>
        <v>(Worksheet B, ln 2 &amp; ln 5.E)</v>
      </c>
      <c r="F104" s="29"/>
      <c r="G104" s="122">
        <f>-'WS B ADIT &amp; ITC'!I15</f>
        <v>0</v>
      </c>
      <c r="H104" s="122"/>
      <c r="I104" s="49" t="s">
        <v>567</v>
      </c>
      <c r="J104" s="50"/>
      <c r="K104" s="29"/>
      <c r="L104" s="122">
        <f>-'WS B ADIT &amp; ITC'!I18</f>
        <v>0</v>
      </c>
      <c r="O104" s="3"/>
    </row>
    <row r="105" spans="2:15" ht="15">
      <c r="B105" s="94">
        <f t="shared" si="5"/>
        <v>60</v>
      </c>
      <c r="C105" s="44"/>
      <c r="D105" s="61" t="s">
        <v>654</v>
      </c>
      <c r="E105" s="29" t="str">
        <f>"(Worksheet B, ln "&amp;'WS B ADIT &amp; ITC'!A23&amp;" &amp; ln "&amp;'WS B ADIT &amp; ITC'!A26&amp;".E)"</f>
        <v>(Worksheet B, ln 7 &amp; ln 10.E)</v>
      </c>
      <c r="F105" s="29"/>
      <c r="G105" s="122">
        <f>-'WS B ADIT &amp; ITC'!I23</f>
        <v>-2540</v>
      </c>
      <c r="H105" s="122"/>
      <c r="I105" s="49" t="s">
        <v>569</v>
      </c>
      <c r="J105" s="50"/>
      <c r="K105" s="29"/>
      <c r="L105" s="122">
        <f>-'WS B ADIT &amp; ITC'!I26</f>
        <v>-2540</v>
      </c>
      <c r="O105" s="3"/>
    </row>
    <row r="106" spans="2:15" ht="15">
      <c r="B106" s="94">
        <f t="shared" si="5"/>
        <v>61</v>
      </c>
      <c r="C106" s="44"/>
      <c r="D106" s="61" t="s">
        <v>655</v>
      </c>
      <c r="E106" s="29" t="str">
        <f>"(Worksheet B, ln "&amp;'WS B ADIT &amp; ITC'!A31&amp;" &amp; ln "&amp;'WS B ADIT &amp; ITC'!A34&amp;".E)"</f>
        <v>(Worksheet B, ln 12 &amp; ln 15.E)</v>
      </c>
      <c r="F106" s="29"/>
      <c r="G106" s="122">
        <f>-'WS B ADIT &amp; ITC'!I31</f>
        <v>-36327.5</v>
      </c>
      <c r="H106" s="122"/>
      <c r="I106" s="49" t="s">
        <v>569</v>
      </c>
      <c r="J106" s="50"/>
      <c r="K106" s="29"/>
      <c r="L106" s="122">
        <f>-'WS B ADIT &amp; ITC'!I34</f>
        <v>-36327.5</v>
      </c>
      <c r="O106" s="3"/>
    </row>
    <row r="107" spans="2:15" ht="15">
      <c r="B107" s="94">
        <f t="shared" si="5"/>
        <v>62</v>
      </c>
      <c r="C107" s="44"/>
      <c r="D107" s="61" t="s">
        <v>656</v>
      </c>
      <c r="E107" s="29" t="str">
        <f>"(Worksheet B, ln "&amp;'WS B ADIT &amp; ITC'!A39&amp;" &amp; ln "&amp;'WS B ADIT &amp; ITC'!A42&amp;".E)"</f>
        <v>(Worksheet B, ln 17 &amp; ln 20.E)</v>
      </c>
      <c r="F107" s="29"/>
      <c r="G107" s="122">
        <f>+'WS B ADIT &amp; ITC'!I39</f>
        <v>38559.5</v>
      </c>
      <c r="H107" s="122"/>
      <c r="I107" s="49" t="s">
        <v>569</v>
      </c>
      <c r="J107" s="50"/>
      <c r="K107" s="29"/>
      <c r="L107" s="122">
        <f>+'WS B ADIT &amp; ITC'!I42</f>
        <v>38559.5</v>
      </c>
      <c r="O107" s="3"/>
    </row>
    <row r="108" spans="2:15" ht="15" thickBot="1">
      <c r="B108" s="94">
        <f t="shared" si="5"/>
        <v>63</v>
      </c>
      <c r="C108" s="44"/>
      <c r="D108" s="51" t="s">
        <v>573</v>
      </c>
      <c r="E108" s="29" t="str">
        <f>"(Worksheet B, ln "&amp;'WS B ADIT &amp; ITC'!A49&amp;" &amp; ln "&amp;'WS B ADIT &amp; ITC'!A50&amp;".E)"</f>
        <v>(Worksheet B, ln 24 &amp; ln 25.E)</v>
      </c>
      <c r="F108" s="15"/>
      <c r="G108" s="123">
        <f>-+'WS B ADIT &amp; ITC'!I49</f>
        <v>0</v>
      </c>
      <c r="H108" s="122"/>
      <c r="I108" s="49" t="s">
        <v>569</v>
      </c>
      <c r="J108" s="50"/>
      <c r="K108" s="29"/>
      <c r="L108" s="123">
        <f>-+'WS B ADIT &amp; ITC'!I50</f>
        <v>0</v>
      </c>
      <c r="O108" s="3"/>
    </row>
    <row r="109" spans="2:12" ht="15">
      <c r="B109" s="94">
        <f t="shared" si="5"/>
        <v>64</v>
      </c>
      <c r="C109" s="44"/>
      <c r="D109" s="42" t="s">
        <v>530</v>
      </c>
      <c r="E109" s="42" t="str">
        <f>"(sum lns "&amp;B104&amp;" to "&amp;B108&amp;")"</f>
        <v>(sum lns 59 to 63)</v>
      </c>
      <c r="F109" s="29"/>
      <c r="G109" s="122">
        <f>SUM(G104:G108)</f>
        <v>-308</v>
      </c>
      <c r="H109" s="255"/>
      <c r="I109" s="49"/>
      <c r="J109" s="300"/>
      <c r="K109" s="29"/>
      <c r="L109" s="122">
        <f>SUM(L104:L108)</f>
        <v>-308</v>
      </c>
    </row>
    <row r="110" spans="2:12" ht="15">
      <c r="B110" s="92"/>
      <c r="C110" s="20"/>
      <c r="D110" s="42"/>
      <c r="E110" s="29"/>
      <c r="F110" s="29"/>
      <c r="G110" s="122"/>
      <c r="H110" s="255"/>
      <c r="I110" s="49"/>
      <c r="J110" s="298"/>
      <c r="K110" s="29"/>
      <c r="L110" s="122"/>
    </row>
    <row r="111" spans="2:12" ht="15">
      <c r="B111" s="92">
        <f>+B109+1</f>
        <v>65</v>
      </c>
      <c r="C111" s="20"/>
      <c r="D111" s="42" t="s">
        <v>669</v>
      </c>
      <c r="E111" s="29" t="str">
        <f>"(Worksheet A ln "&amp;'WS A  - RB Support '!A79&amp;".E &amp; ln "&amp;'WS A  - RB Support '!A81&amp;".E)"</f>
        <v>(Worksheet A ln 29.E &amp; ln 30.E)</v>
      </c>
      <c r="F111" s="29"/>
      <c r="G111" s="122">
        <f>+'WS A  - RB Support '!G79</f>
        <v>0</v>
      </c>
      <c r="H111" s="255"/>
      <c r="I111" s="49" t="s">
        <v>569</v>
      </c>
      <c r="J111" s="50"/>
      <c r="K111" s="29"/>
      <c r="L111" s="122">
        <f>+'WS A  - RB Support '!G81</f>
        <v>0</v>
      </c>
    </row>
    <row r="112" spans="2:12" ht="15">
      <c r="B112" s="92"/>
      <c r="C112" s="20"/>
      <c r="D112" s="42"/>
      <c r="E112" s="29"/>
      <c r="F112" s="29"/>
      <c r="G112" s="122"/>
      <c r="H112" s="255"/>
      <c r="I112" s="49"/>
      <c r="J112" s="50"/>
      <c r="K112" s="29"/>
      <c r="L112" s="122"/>
    </row>
    <row r="113" spans="2:12" ht="15">
      <c r="B113" s="96">
        <f>+B111+1</f>
        <v>66</v>
      </c>
      <c r="C113" s="80"/>
      <c r="D113" s="61" t="s">
        <v>951</v>
      </c>
      <c r="E113" s="29" t="str">
        <f>"(Worksheet A ln "&amp;'WS A  - RB Support '!A95&amp;". "&amp;'WS A  - RB Support '!G6&amp;")"</f>
        <v>(Worksheet A ln 41. (E))</v>
      </c>
      <c r="F113" s="29"/>
      <c r="G113" s="122">
        <f>+'WS A  - RB Support '!G95</f>
        <v>0</v>
      </c>
      <c r="H113" s="255"/>
      <c r="I113" s="49" t="s">
        <v>569</v>
      </c>
      <c r="J113" s="29"/>
      <c r="K113" s="29"/>
      <c r="L113" s="122">
        <f>+G113</f>
        <v>0</v>
      </c>
    </row>
    <row r="114" spans="2:12" ht="15">
      <c r="B114" s="92"/>
      <c r="C114" s="20"/>
      <c r="D114" s="42"/>
      <c r="E114" s="29"/>
      <c r="F114" s="29"/>
      <c r="G114" s="122"/>
      <c r="H114" s="255"/>
      <c r="I114" s="49"/>
      <c r="J114" s="29"/>
      <c r="K114" s="29"/>
      <c r="L114" s="122"/>
    </row>
    <row r="115" spans="2:12" ht="15">
      <c r="B115" s="92">
        <f>+B113+1</f>
        <v>67</v>
      </c>
      <c r="C115" s="20"/>
      <c r="D115" s="42" t="s">
        <v>531</v>
      </c>
      <c r="E115" s="29" t="s">
        <v>286</v>
      </c>
      <c r="F115" s="29"/>
      <c r="G115" s="122"/>
      <c r="H115" s="255"/>
      <c r="I115" s="49"/>
      <c r="J115" s="29"/>
      <c r="K115" s="29"/>
      <c r="L115" s="122"/>
    </row>
    <row r="116" spans="2:12" ht="15">
      <c r="B116" s="94">
        <f aca="true" t="shared" si="6" ref="B116:B124">+B115+1</f>
        <v>68</v>
      </c>
      <c r="C116" s="44"/>
      <c r="D116" s="42" t="s">
        <v>667</v>
      </c>
      <c r="E116" s="15" t="str">
        <f>"(1/8 * ln "&amp;B152&amp;")"</f>
        <v>(1/8 * ln 88)</v>
      </c>
      <c r="F116" s="15"/>
      <c r="G116" s="122">
        <f>+G152/8</f>
        <v>1873.375</v>
      </c>
      <c r="H116" s="29"/>
      <c r="I116" s="49"/>
      <c r="J116" s="298"/>
      <c r="K116" s="29"/>
      <c r="L116" s="122">
        <f>+L152/8</f>
        <v>1873.375</v>
      </c>
    </row>
    <row r="117" spans="2:12" ht="15">
      <c r="B117" s="207">
        <f t="shared" si="6"/>
        <v>69</v>
      </c>
      <c r="C117" s="208"/>
      <c r="D117" s="42" t="s">
        <v>958</v>
      </c>
      <c r="E117" s="29" t="s">
        <v>477</v>
      </c>
      <c r="F117" s="29"/>
      <c r="G117" s="122">
        <f>+'WS C  - Working Capital'!I15</f>
        <v>0</v>
      </c>
      <c r="H117" s="707"/>
      <c r="I117" s="32" t="s">
        <v>561</v>
      </c>
      <c r="J117" s="50">
        <f aca="true" t="shared" si="7" ref="J117:J123">VLOOKUP(I117,APCo_TU_Allocators,2,FALSE)</f>
        <v>1</v>
      </c>
      <c r="K117" s="19"/>
      <c r="L117" s="107">
        <f>+J117*G117</f>
        <v>0</v>
      </c>
    </row>
    <row r="118" spans="2:12" ht="15">
      <c r="B118" s="207">
        <f t="shared" si="6"/>
        <v>70</v>
      </c>
      <c r="C118" s="208"/>
      <c r="D118" s="42" t="s">
        <v>959</v>
      </c>
      <c r="E118" s="29" t="s">
        <v>478</v>
      </c>
      <c r="F118" s="29"/>
      <c r="G118" s="122">
        <f>+'WS C  - Working Capital'!I17</f>
        <v>0</v>
      </c>
      <c r="H118" s="707"/>
      <c r="I118" s="32" t="s">
        <v>571</v>
      </c>
      <c r="J118" s="50">
        <f t="shared" si="7"/>
        <v>0.9987295825771325</v>
      </c>
      <c r="K118" s="19"/>
      <c r="L118" s="107">
        <f>+J118*G118</f>
        <v>0</v>
      </c>
    </row>
    <row r="119" spans="2:12" ht="15">
      <c r="B119" s="207">
        <f t="shared" si="6"/>
        <v>71</v>
      </c>
      <c r="C119" s="208"/>
      <c r="D119" s="42" t="s">
        <v>354</v>
      </c>
      <c r="E119" s="29" t="s">
        <v>459</v>
      </c>
      <c r="F119" s="29"/>
      <c r="G119" s="122">
        <f>+'WS C  - Working Capital'!I19</f>
        <v>0</v>
      </c>
      <c r="H119" s="707"/>
      <c r="I119" s="32" t="s">
        <v>960</v>
      </c>
      <c r="J119" s="50">
        <f t="shared" si="7"/>
        <v>0</v>
      </c>
      <c r="K119" s="19"/>
      <c r="L119" s="107">
        <f>+J119*G119</f>
        <v>0</v>
      </c>
    </row>
    <row r="120" spans="2:12" ht="15">
      <c r="B120" s="207">
        <f t="shared" si="6"/>
        <v>72</v>
      </c>
      <c r="C120" s="208"/>
      <c r="D120" s="61" t="s">
        <v>683</v>
      </c>
      <c r="E120" s="29" t="s">
        <v>479</v>
      </c>
      <c r="F120" s="29"/>
      <c r="G120" s="122">
        <f>+'WS C  - Working Capital'!J29</f>
        <v>0</v>
      </c>
      <c r="H120" s="255"/>
      <c r="I120" s="49" t="s">
        <v>571</v>
      </c>
      <c r="J120" s="50">
        <f t="shared" si="7"/>
        <v>0.9987295825771325</v>
      </c>
      <c r="K120" s="29"/>
      <c r="L120" s="122">
        <f>+J120*G120</f>
        <v>0</v>
      </c>
    </row>
    <row r="121" spans="2:12" ht="15">
      <c r="B121" s="94">
        <f t="shared" si="6"/>
        <v>73</v>
      </c>
      <c r="C121" s="44"/>
      <c r="D121" s="42" t="s">
        <v>684</v>
      </c>
      <c r="E121" s="29" t="s">
        <v>480</v>
      </c>
      <c r="F121" s="29"/>
      <c r="G121" s="122">
        <f>+'WS C  - Working Capital'!I29</f>
        <v>0</v>
      </c>
      <c r="H121" s="255"/>
      <c r="I121" s="49" t="s">
        <v>960</v>
      </c>
      <c r="J121" s="50">
        <f t="shared" si="7"/>
        <v>0</v>
      </c>
      <c r="K121" s="29"/>
      <c r="L121" s="122">
        <f>+G121*J121</f>
        <v>0</v>
      </c>
    </row>
    <row r="122" spans="2:12" ht="15">
      <c r="B122" s="94">
        <f t="shared" si="6"/>
        <v>74</v>
      </c>
      <c r="C122" s="44"/>
      <c r="D122" s="42" t="s">
        <v>929</v>
      </c>
      <c r="E122" s="29" t="s">
        <v>481</v>
      </c>
      <c r="F122" s="29"/>
      <c r="G122" s="122">
        <f>+'WS C  - Working Capital'!G29</f>
        <v>0</v>
      </c>
      <c r="H122" s="255"/>
      <c r="I122" s="49" t="s">
        <v>569</v>
      </c>
      <c r="J122" s="50">
        <f t="shared" si="7"/>
        <v>1</v>
      </c>
      <c r="K122" s="29"/>
      <c r="L122" s="122">
        <f>+G122</f>
        <v>0</v>
      </c>
    </row>
    <row r="123" spans="2:12" ht="15" thickBot="1">
      <c r="B123" s="94">
        <f t="shared" si="6"/>
        <v>75</v>
      </c>
      <c r="C123" s="44"/>
      <c r="D123" s="42" t="s">
        <v>545</v>
      </c>
      <c r="E123" s="29" t="s">
        <v>482</v>
      </c>
      <c r="F123" s="29"/>
      <c r="G123" s="123">
        <f>+'WS C  - Working Capital'!E29</f>
        <v>0</v>
      </c>
      <c r="H123" s="122"/>
      <c r="I123" s="49" t="s">
        <v>567</v>
      </c>
      <c r="J123" s="50">
        <f t="shared" si="7"/>
        <v>0</v>
      </c>
      <c r="K123" s="29"/>
      <c r="L123" s="123">
        <f>+G123*J123</f>
        <v>0</v>
      </c>
    </row>
    <row r="124" spans="2:12" ht="15">
      <c r="B124" s="94">
        <f t="shared" si="6"/>
        <v>76</v>
      </c>
      <c r="C124" s="44"/>
      <c r="D124" s="42" t="s">
        <v>515</v>
      </c>
      <c r="E124" s="42" t="str">
        <f>"(sum lns "&amp;B116&amp;" to "&amp;B123&amp;")"</f>
        <v>(sum lns 68 to 75)</v>
      </c>
      <c r="F124" s="26"/>
      <c r="G124" s="122">
        <f>SUM(G116:G123)</f>
        <v>1873.375</v>
      </c>
      <c r="H124" s="26"/>
      <c r="I124" s="80"/>
      <c r="J124" s="26"/>
      <c r="K124" s="26"/>
      <c r="L124" s="122">
        <f>SUM(L116:L123)</f>
        <v>1873.375</v>
      </c>
    </row>
    <row r="125" spans="2:12" ht="15">
      <c r="B125" s="92"/>
      <c r="C125" s="20"/>
      <c r="D125" s="42"/>
      <c r="E125" s="18"/>
      <c r="F125" s="18"/>
      <c r="G125" s="107"/>
      <c r="H125" s="18"/>
      <c r="I125" s="20"/>
      <c r="J125" s="18"/>
      <c r="K125" s="18"/>
      <c r="L125" s="107"/>
    </row>
    <row r="126" spans="2:12" ht="15">
      <c r="B126" s="92">
        <f>+B124+1</f>
        <v>77</v>
      </c>
      <c r="C126" s="20"/>
      <c r="D126" s="61" t="s">
        <v>501</v>
      </c>
      <c r="E126" s="17" t="s">
        <v>483</v>
      </c>
      <c r="F126" s="18"/>
      <c r="G126" s="122">
        <f>+'WS D IPP Credits'!C21</f>
        <v>0</v>
      </c>
      <c r="H126" s="18"/>
      <c r="I126" s="132" t="s">
        <v>569</v>
      </c>
      <c r="J126" s="50">
        <f>VLOOKUP(I126,APCo_TU_Allocators,2,FALSE)</f>
        <v>1</v>
      </c>
      <c r="K126" s="19"/>
      <c r="L126" s="107">
        <f>+J126*G126</f>
        <v>0</v>
      </c>
    </row>
    <row r="127" spans="2:12" ht="15" thickBot="1">
      <c r="B127" s="91"/>
      <c r="C127" s="13"/>
      <c r="D127" s="51"/>
      <c r="E127" s="19"/>
      <c r="F127" s="19"/>
      <c r="G127" s="108"/>
      <c r="H127" s="19"/>
      <c r="I127" s="32"/>
      <c r="J127" s="19"/>
      <c r="K127" s="19"/>
      <c r="L127" s="108"/>
    </row>
    <row r="128" spans="2:12" ht="15" thickBot="1">
      <c r="B128" s="92">
        <f>+B126+1</f>
        <v>78</v>
      </c>
      <c r="C128" s="20"/>
      <c r="D128" s="17" t="str">
        <f>"RATE BASE  (sum lns "&amp;B100&amp;", "&amp;B109&amp;", "&amp;B111&amp;", "&amp;B113&amp;", "&amp;B124&amp;", "&amp;B126&amp;")"</f>
        <v>RATE BASE  (sum lns 57, 64, 65, 66, 76, 77)</v>
      </c>
      <c r="E128" s="19"/>
      <c r="F128" s="19"/>
      <c r="G128" s="119">
        <f>+G124+G111+G109+G100+G126+G113</f>
        <v>1565.375</v>
      </c>
      <c r="H128" s="19"/>
      <c r="I128" s="19"/>
      <c r="J128" s="48"/>
      <c r="K128" s="19"/>
      <c r="L128" s="119">
        <f>+L124+L111+L109+L100+L126+L113</f>
        <v>1565.375</v>
      </c>
    </row>
    <row r="129" spans="2:12" ht="15.75" thickTop="1">
      <c r="B129" s="92"/>
      <c r="C129" s="707"/>
      <c r="D129" s="707"/>
      <c r="E129" s="707"/>
      <c r="F129" s="707"/>
      <c r="G129" s="707"/>
      <c r="H129" s="707"/>
      <c r="I129" s="14"/>
      <c r="J129" s="14"/>
      <c r="K129" s="14"/>
      <c r="L129" s="15"/>
    </row>
    <row r="130" spans="2:12" ht="15">
      <c r="B130" s="92"/>
      <c r="C130" s="20"/>
      <c r="D130" s="17"/>
      <c r="E130" s="19"/>
      <c r="F130" s="19"/>
      <c r="G130" s="19"/>
      <c r="H130" s="19"/>
      <c r="I130" s="19"/>
      <c r="J130" s="19"/>
      <c r="K130" s="19"/>
      <c r="L130" s="19"/>
    </row>
    <row r="131" spans="2:12" ht="15">
      <c r="B131" s="92"/>
      <c r="C131" s="20"/>
      <c r="D131" s="17"/>
      <c r="E131" s="19"/>
      <c r="F131" s="32" t="str">
        <f>F47</f>
        <v>AEPTCo subsidiaries in PJM</v>
      </c>
      <c r="G131" s="32"/>
      <c r="H131" s="19"/>
      <c r="I131" s="19"/>
      <c r="J131" s="19"/>
      <c r="K131" s="19"/>
      <c r="L131" s="19"/>
    </row>
    <row r="132" spans="2:12" ht="15">
      <c r="B132" s="92"/>
      <c r="C132" s="20"/>
      <c r="D132" s="17"/>
      <c r="E132" s="19"/>
      <c r="F132" s="32" t="str">
        <f>F48</f>
        <v>Transmission Cost of Service Formula Rate</v>
      </c>
      <c r="G132" s="32"/>
      <c r="H132" s="19"/>
      <c r="I132" s="19"/>
      <c r="J132" s="19"/>
      <c r="K132" s="19"/>
      <c r="L132" s="19"/>
    </row>
    <row r="133" spans="2:12" ht="15">
      <c r="B133" s="92"/>
      <c r="C133" s="20"/>
      <c r="D133" s="13"/>
      <c r="E133" s="19"/>
      <c r="F133" s="12" t="str">
        <f>+F49</f>
        <v>Utilizing Actual Cost Data for 2014 with Average Ratebase Balances</v>
      </c>
      <c r="G133" s="19"/>
      <c r="H133" s="19"/>
      <c r="I133" s="19"/>
      <c r="J133" s="19"/>
      <c r="K133" s="19"/>
      <c r="L133" s="19"/>
    </row>
    <row r="134" spans="2:12" ht="15">
      <c r="B134" s="92"/>
      <c r="C134" s="20"/>
      <c r="D134" s="13"/>
      <c r="E134" s="19"/>
      <c r="F134" s="712"/>
      <c r="G134" s="19"/>
      <c r="H134" s="19"/>
      <c r="I134" s="19"/>
      <c r="J134" s="19"/>
      <c r="K134" s="19"/>
      <c r="L134" s="19"/>
    </row>
    <row r="135" spans="2:12" ht="15">
      <c r="B135" s="92"/>
      <c r="C135" s="20"/>
      <c r="D135" s="13"/>
      <c r="E135" s="23"/>
      <c r="F135" s="32" t="str">
        <f>F51</f>
        <v>AEP KENTUCKY TRANSMISSION COMPANY</v>
      </c>
      <c r="G135" s="23"/>
      <c r="H135" s="85"/>
      <c r="I135" s="23"/>
      <c r="J135" s="23"/>
      <c r="K135" s="23"/>
      <c r="L135" s="13"/>
    </row>
    <row r="136" spans="2:12" ht="15">
      <c r="B136" s="92"/>
      <c r="C136" s="20"/>
      <c r="D136" s="13"/>
      <c r="E136" s="23"/>
      <c r="F136" s="32"/>
      <c r="G136" s="23"/>
      <c r="H136" s="85"/>
      <c r="I136" s="23"/>
      <c r="J136" s="23"/>
      <c r="K136" s="23"/>
      <c r="L136" s="13"/>
    </row>
    <row r="137" spans="2:12" ht="15">
      <c r="B137" s="91"/>
      <c r="C137" s="13"/>
      <c r="D137" s="20" t="s">
        <v>562</v>
      </c>
      <c r="E137" s="20" t="s">
        <v>563</v>
      </c>
      <c r="F137" s="20"/>
      <c r="G137" s="20" t="s">
        <v>564</v>
      </c>
      <c r="H137" s="29"/>
      <c r="I137" s="1169" t="s">
        <v>565</v>
      </c>
      <c r="J137" s="1170"/>
      <c r="K137" s="19"/>
      <c r="L137" s="21" t="s">
        <v>566</v>
      </c>
    </row>
    <row r="138" spans="2:15" ht="15">
      <c r="B138" s="16"/>
      <c r="C138" s="13"/>
      <c r="D138" s="20"/>
      <c r="E138" s="20"/>
      <c r="F138" s="20"/>
      <c r="G138" s="20"/>
      <c r="H138" s="29"/>
      <c r="I138" s="19"/>
      <c r="J138" s="34"/>
      <c r="K138" s="19"/>
      <c r="L138" s="13"/>
      <c r="O138" s="54"/>
    </row>
    <row r="139" spans="2:15" ht="15">
      <c r="B139" s="94"/>
      <c r="C139" s="20"/>
      <c r="D139" s="38" t="s">
        <v>541</v>
      </c>
      <c r="E139" s="35" t="str">
        <f>E55</f>
        <v>Data Sources</v>
      </c>
      <c r="F139" s="37"/>
      <c r="G139" s="19"/>
      <c r="H139" s="29"/>
      <c r="I139" s="19"/>
      <c r="J139" s="20"/>
      <c r="K139" s="19"/>
      <c r="L139" s="35" t="str">
        <f>L55</f>
        <v>Total</v>
      </c>
      <c r="O139" s="54"/>
    </row>
    <row r="140" spans="2:15" ht="15">
      <c r="B140" s="16"/>
      <c r="C140" s="25"/>
      <c r="D140" s="55" t="s">
        <v>542</v>
      </c>
      <c r="E140" s="121" t="str">
        <f>E56</f>
        <v>(See "General Notes")</v>
      </c>
      <c r="F140" s="19"/>
      <c r="G140" s="121" t="str">
        <f>G56</f>
        <v>TO Total</v>
      </c>
      <c r="H140" s="291"/>
      <c r="I140" s="1180" t="str">
        <f>I56</f>
        <v>Allocator</v>
      </c>
      <c r="J140" s="1181"/>
      <c r="K140" s="39"/>
      <c r="L140" s="121" t="str">
        <f>L56</f>
        <v>Transmission</v>
      </c>
      <c r="O140" s="54"/>
    </row>
    <row r="141" spans="2:12" ht="15">
      <c r="B141" s="118" t="str">
        <f>B57</f>
        <v>Line</v>
      </c>
      <c r="C141" s="13"/>
      <c r="D141" s="17"/>
      <c r="E141" s="19"/>
      <c r="F141" s="19"/>
      <c r="G141" s="55"/>
      <c r="H141" s="282"/>
      <c r="I141" s="38"/>
      <c r="J141" s="13"/>
      <c r="K141" s="56"/>
      <c r="L141" s="55"/>
    </row>
    <row r="142" spans="2:12" ht="15" thickBot="1">
      <c r="B142" s="93" t="str">
        <f>B58</f>
        <v>No.</v>
      </c>
      <c r="C142" s="20"/>
      <c r="D142" s="17" t="s">
        <v>543</v>
      </c>
      <c r="E142" s="19"/>
      <c r="F142" s="19"/>
      <c r="G142" s="19"/>
      <c r="H142" s="29"/>
      <c r="I142" s="32"/>
      <c r="J142" s="19"/>
      <c r="K142" s="19"/>
      <c r="L142" s="19"/>
    </row>
    <row r="143" spans="2:12" ht="15">
      <c r="B143" s="97">
        <f>+B128+1</f>
        <v>79</v>
      </c>
      <c r="C143" s="20"/>
      <c r="D143" s="1019" t="s">
        <v>877</v>
      </c>
      <c r="E143" s="29"/>
      <c r="F143" s="29"/>
      <c r="G143" s="122"/>
      <c r="H143" s="122"/>
      <c r="I143" s="49"/>
      <c r="J143" s="50"/>
      <c r="K143" s="29"/>
      <c r="L143" s="122"/>
    </row>
    <row r="144" spans="2:12" ht="15">
      <c r="B144" s="97">
        <f aca="true" t="shared" si="8" ref="B144:B150">+B143+1</f>
        <v>80</v>
      </c>
      <c r="C144" s="20"/>
      <c r="D144" s="1019" t="s">
        <v>877</v>
      </c>
      <c r="E144" s="29"/>
      <c r="F144" s="29"/>
      <c r="G144" s="122"/>
      <c r="H144" s="122"/>
      <c r="I144" s="49"/>
      <c r="J144" s="50"/>
      <c r="K144" s="29"/>
      <c r="L144" s="122"/>
    </row>
    <row r="145" spans="2:12" ht="15">
      <c r="B145" s="97">
        <f t="shared" si="8"/>
        <v>81</v>
      </c>
      <c r="C145" s="20"/>
      <c r="D145" s="57" t="s">
        <v>842</v>
      </c>
      <c r="E145" s="19" t="s">
        <v>70</v>
      </c>
      <c r="F145" s="29"/>
      <c r="G145" s="122">
        <f>+'Historic TCOS'!G145</f>
        <v>0</v>
      </c>
      <c r="H145" s="29"/>
      <c r="I145" s="49"/>
      <c r="J145" s="50"/>
      <c r="K145" s="29"/>
      <c r="L145" s="122"/>
    </row>
    <row r="146" spans="2:12" ht="15">
      <c r="B146" s="97">
        <f t="shared" si="8"/>
        <v>82</v>
      </c>
      <c r="C146" s="20"/>
      <c r="D146" s="57" t="s">
        <v>855</v>
      </c>
      <c r="E146" s="19" t="s">
        <v>71</v>
      </c>
      <c r="F146" s="29"/>
      <c r="G146" s="122">
        <f>+'Historic TCOS'!G146</f>
        <v>0</v>
      </c>
      <c r="H146" s="29"/>
      <c r="I146" s="49"/>
      <c r="J146" s="50"/>
      <c r="K146" s="29"/>
      <c r="L146" s="122"/>
    </row>
    <row r="147" spans="2:15" ht="15" thickBot="1">
      <c r="B147" s="97">
        <f t="shared" si="8"/>
        <v>83</v>
      </c>
      <c r="C147" s="20"/>
      <c r="D147" s="57" t="s">
        <v>574</v>
      </c>
      <c r="E147" s="19" t="s">
        <v>69</v>
      </c>
      <c r="F147" s="29"/>
      <c r="G147" s="123">
        <f>+'Historic TCOS'!G147</f>
        <v>15225</v>
      </c>
      <c r="H147" s="122"/>
      <c r="I147" s="102"/>
      <c r="J147" s="102"/>
      <c r="K147" s="102"/>
      <c r="L147"/>
      <c r="O147" s="3"/>
    </row>
    <row r="148" spans="2:15" ht="15">
      <c r="B148" s="97">
        <f t="shared" si="8"/>
        <v>84</v>
      </c>
      <c r="C148" s="20"/>
      <c r="D148" s="57" t="s">
        <v>856</v>
      </c>
      <c r="E148" s="29" t="str">
        <f>"(sum lns "&amp;B145&amp;"  to "&amp;B147&amp;")"</f>
        <v>(sum lns 81  to 83)</v>
      </c>
      <c r="F148" s="29"/>
      <c r="G148" s="122">
        <f>SUM(G143:G147)</f>
        <v>15225</v>
      </c>
      <c r="H148" s="122"/>
      <c r="I148" s="102"/>
      <c r="J148" s="102"/>
      <c r="K148" s="102"/>
      <c r="L148"/>
      <c r="O148" s="3"/>
    </row>
    <row r="149" spans="2:15" ht="15">
      <c r="B149" s="97">
        <f t="shared" si="8"/>
        <v>85</v>
      </c>
      <c r="C149" s="20"/>
      <c r="D149" s="57" t="s">
        <v>952</v>
      </c>
      <c r="E149" s="29" t="str">
        <f>"(Note G) (Worksheet F, ln "&amp;'WS F Misc Exp'!A31&amp;".C)"</f>
        <v>(Note G) (Worksheet F, ln 14.C)</v>
      </c>
      <c r="F149" s="29"/>
      <c r="G149" s="122">
        <f>+'Historic TCOS'!G149</f>
        <v>238</v>
      </c>
      <c r="H149" s="122"/>
      <c r="I149" s="102"/>
      <c r="J149" s="102"/>
      <c r="K149" s="102"/>
      <c r="L149"/>
      <c r="O149" s="3"/>
    </row>
    <row r="150" spans="2:15" ht="15">
      <c r="B150" s="97">
        <f t="shared" si="8"/>
        <v>86</v>
      </c>
      <c r="C150" s="20"/>
      <c r="D150" s="57" t="s">
        <v>495</v>
      </c>
      <c r="E150" s="29" t="s">
        <v>540</v>
      </c>
      <c r="F150" s="29"/>
      <c r="G150" s="122">
        <f>+'Historic TCOS'!G150</f>
        <v>0</v>
      </c>
      <c r="H150" s="122"/>
      <c r="I150" s="102"/>
      <c r="J150" s="102"/>
      <c r="K150" s="102"/>
      <c r="L150"/>
      <c r="O150" s="3"/>
    </row>
    <row r="151" spans="2:15" ht="15" thickBot="1">
      <c r="B151" s="501">
        <f>+B150+1</f>
        <v>87</v>
      </c>
      <c r="C151" s="80"/>
      <c r="D151" s="57" t="s">
        <v>956</v>
      </c>
      <c r="E151" s="29" t="s">
        <v>259</v>
      </c>
      <c r="F151" s="29"/>
      <c r="G151" s="123">
        <f>+'WS F Misc Exp'!D19</f>
        <v>0</v>
      </c>
      <c r="H151" s="122"/>
      <c r="I151" s="101"/>
      <c r="J151" s="101"/>
      <c r="K151" s="102"/>
      <c r="L151"/>
      <c r="O151" s="3"/>
    </row>
    <row r="152" spans="2:15" ht="15">
      <c r="B152" s="92">
        <f>+B151+1</f>
        <v>88</v>
      </c>
      <c r="C152" s="20"/>
      <c r="D152" s="57" t="s">
        <v>62</v>
      </c>
      <c r="E152" s="19" t="str">
        <f>"(lns "&amp;B147&amp;" - "&amp;B149&amp;" - "&amp;B150&amp;" - "&amp;B151&amp;")"</f>
        <v>(lns 83 - 85 - 86 - 87)</v>
      </c>
      <c r="F152" s="57"/>
      <c r="G152" s="122">
        <f>G147-G149-G150-G151</f>
        <v>14987</v>
      </c>
      <c r="H152" s="29"/>
      <c r="I152" s="32" t="s">
        <v>561</v>
      </c>
      <c r="J152" s="50">
        <f>VLOOKUP(I152,APCo_TU_Allocators,2,FALSE)</f>
        <v>1</v>
      </c>
      <c r="K152" s="29"/>
      <c r="L152" s="122">
        <f>+J152*G152</f>
        <v>14987</v>
      </c>
      <c r="O152" s="3"/>
    </row>
    <row r="153" spans="2:15" ht="15">
      <c r="B153" s="92"/>
      <c r="C153" s="20"/>
      <c r="D153" s="57"/>
      <c r="E153" s="29"/>
      <c r="F153" s="29"/>
      <c r="G153" s="343"/>
      <c r="H153" s="122"/>
      <c r="I153" s="102"/>
      <c r="J153" s="102"/>
      <c r="K153" s="102"/>
      <c r="L153"/>
      <c r="O153" s="3"/>
    </row>
    <row r="154" spans="2:15" ht="15">
      <c r="B154" s="92">
        <f>+B152+1</f>
        <v>89</v>
      </c>
      <c r="C154" s="20"/>
      <c r="D154" s="17" t="s">
        <v>544</v>
      </c>
      <c r="E154" s="19" t="s">
        <v>260</v>
      </c>
      <c r="F154" s="19"/>
      <c r="G154" s="122">
        <f>+'Historic TCOS'!G154</f>
        <v>169555</v>
      </c>
      <c r="H154" s="122"/>
      <c r="I154" s="43"/>
      <c r="J154" s="43"/>
      <c r="K154" s="19"/>
      <c r="L154" s="107"/>
      <c r="O154" s="3"/>
    </row>
    <row r="155" spans="2:15" ht="15">
      <c r="B155" s="92">
        <f aca="true" t="shared" si="9" ref="B155:B161">+B154+1</f>
        <v>90</v>
      </c>
      <c r="C155" s="20"/>
      <c r="D155" s="57" t="s">
        <v>954</v>
      </c>
      <c r="E155" s="19" t="s">
        <v>72</v>
      </c>
      <c r="F155" s="19"/>
      <c r="G155" s="122">
        <f>+'Historic TCOS'!G155</f>
        <v>5</v>
      </c>
      <c r="H155" s="122"/>
      <c r="I155" s="43"/>
      <c r="J155" s="17"/>
      <c r="K155" s="19"/>
      <c r="L155" s="107"/>
      <c r="O155" s="3"/>
    </row>
    <row r="156" spans="2:15" ht="15">
      <c r="B156" s="92">
        <f t="shared" si="9"/>
        <v>91</v>
      </c>
      <c r="C156" s="20"/>
      <c r="D156" s="17" t="s">
        <v>953</v>
      </c>
      <c r="E156" s="19" t="s">
        <v>534</v>
      </c>
      <c r="F156" s="29"/>
      <c r="G156" s="122">
        <f>+'Historic TCOS'!G156</f>
        <v>0</v>
      </c>
      <c r="H156" s="122"/>
      <c r="I156" s="43"/>
      <c r="J156" s="253"/>
      <c r="K156" s="19"/>
      <c r="L156" s="107"/>
      <c r="O156" s="3"/>
    </row>
    <row r="157" spans="2:15" ht="15">
      <c r="B157" s="92">
        <f t="shared" si="9"/>
        <v>92</v>
      </c>
      <c r="C157" s="20"/>
      <c r="D157" s="57" t="s">
        <v>548</v>
      </c>
      <c r="E157" s="19" t="s">
        <v>535</v>
      </c>
      <c r="F157" s="29"/>
      <c r="G157" s="122">
        <f>+'Historic TCOS'!G157</f>
        <v>0</v>
      </c>
      <c r="H157" s="122"/>
      <c r="I157" s="43"/>
      <c r="J157" s="43"/>
      <c r="K157" s="19"/>
      <c r="L157" s="107"/>
      <c r="O157" s="3"/>
    </row>
    <row r="158" spans="2:15" ht="15" thickBot="1">
      <c r="B158" s="92">
        <f t="shared" si="9"/>
        <v>93</v>
      </c>
      <c r="C158" s="20"/>
      <c r="D158" s="57" t="s">
        <v>955</v>
      </c>
      <c r="E158" s="19" t="s">
        <v>536</v>
      </c>
      <c r="F158" s="29"/>
      <c r="G158" s="123">
        <f>+'Historic TCOS'!G158</f>
        <v>0</v>
      </c>
      <c r="H158" s="122"/>
      <c r="I158" s="43"/>
      <c r="J158" s="43"/>
      <c r="K158" s="19"/>
      <c r="L158" s="107"/>
      <c r="O158" s="3"/>
    </row>
    <row r="159" spans="2:15" ht="15">
      <c r="B159" s="92">
        <f t="shared" si="9"/>
        <v>94</v>
      </c>
      <c r="C159" s="20"/>
      <c r="D159" s="17" t="s">
        <v>549</v>
      </c>
      <c r="E159" s="29" t="str">
        <f>"(ln "&amp;B154&amp;" - sum ln "&amp;B155&amp;"  to ln "&amp;B158&amp;")"</f>
        <v>(ln 89 - sum ln 90  to ln 93)</v>
      </c>
      <c r="F159" s="29"/>
      <c r="G159" s="122">
        <f>G154-SUM(G155:G158)</f>
        <v>169550</v>
      </c>
      <c r="H159" s="122"/>
      <c r="I159" s="32" t="s">
        <v>571</v>
      </c>
      <c r="J159" s="50">
        <f aca="true" t="shared" si="10" ref="J159:J164">VLOOKUP(I159,APCo_TU_Allocators,2,FALSE)</f>
        <v>0.9987295825771325</v>
      </c>
      <c r="K159" s="19"/>
      <c r="L159" s="107">
        <f>+J159*G159</f>
        <v>169334.60072595283</v>
      </c>
      <c r="O159" s="3"/>
    </row>
    <row r="160" spans="2:15" ht="15">
      <c r="B160" s="96">
        <f t="shared" si="9"/>
        <v>95</v>
      </c>
      <c r="C160" s="80"/>
      <c r="D160" s="57" t="s">
        <v>657</v>
      </c>
      <c r="E160" s="29" t="str">
        <f>"(ln "&amp;B155&amp;")"</f>
        <v>(ln 90)</v>
      </c>
      <c r="F160" s="29"/>
      <c r="G160" s="122">
        <f>+G155</f>
        <v>5</v>
      </c>
      <c r="H160" s="122"/>
      <c r="I160" s="210" t="s">
        <v>960</v>
      </c>
      <c r="J160" s="50">
        <f t="shared" si="10"/>
        <v>0</v>
      </c>
      <c r="K160" s="29"/>
      <c r="L160" s="122">
        <f>+J160*G160</f>
        <v>0</v>
      </c>
      <c r="O160" s="3"/>
    </row>
    <row r="161" spans="2:15" ht="15">
      <c r="B161" s="92">
        <f t="shared" si="9"/>
        <v>96</v>
      </c>
      <c r="C161" s="20"/>
      <c r="D161" s="57" t="s">
        <v>761</v>
      </c>
      <c r="E161" s="29" t="str">
        <f>"Worksheet F ln "&amp;'WS F Misc Exp'!A41&amp;".(E) (Note L)"</f>
        <v>Worksheet F ln 20.(E) (Note L)</v>
      </c>
      <c r="F161" s="29"/>
      <c r="G161" s="122">
        <f>+'WS F Misc Exp'!F41</f>
        <v>0</v>
      </c>
      <c r="H161" s="122"/>
      <c r="I161" s="32" t="s">
        <v>561</v>
      </c>
      <c r="J161" s="50">
        <f>VLOOKUP(I161,APCo_Proj_Allocators,2,FALSE)</f>
        <v>1</v>
      </c>
      <c r="K161" s="19"/>
      <c r="L161" s="107">
        <f>J161*G161</f>
        <v>0</v>
      </c>
      <c r="O161" s="3"/>
    </row>
    <row r="162" spans="2:15" ht="15">
      <c r="B162" s="92">
        <f>B161+1</f>
        <v>97</v>
      </c>
      <c r="C162" s="20"/>
      <c r="D162" s="57" t="s">
        <v>833</v>
      </c>
      <c r="E162" s="29" t="str">
        <f>"Worksheet F ln "&amp;'WS F Misc Exp'!A61&amp;".(E) (Note L)"</f>
        <v>Worksheet F ln 37.(E) (Note L)</v>
      </c>
      <c r="F162" s="29"/>
      <c r="G162" s="129">
        <f>+'WS F Misc Exp'!F61</f>
        <v>0</v>
      </c>
      <c r="H162" s="29"/>
      <c r="I162" s="49" t="s">
        <v>561</v>
      </c>
      <c r="J162" s="50">
        <f>VLOOKUP(I162,APCo_Proj_Allocators,2,FALSE)</f>
        <v>1</v>
      </c>
      <c r="K162" s="19"/>
      <c r="L162" s="107">
        <f>+J162*G162</f>
        <v>0</v>
      </c>
      <c r="O162" s="3"/>
    </row>
    <row r="163" spans="2:15" ht="15">
      <c r="B163" s="92">
        <f>+B162+1</f>
        <v>98</v>
      </c>
      <c r="C163" s="20"/>
      <c r="D163" s="57" t="s">
        <v>836</v>
      </c>
      <c r="E163" s="29" t="str">
        <f>"Worksheet F ln "&amp;'WS F Misc Exp'!A69&amp;".(E) (Note L)"</f>
        <v>Worksheet F ln 42.(E) (Note L)</v>
      </c>
      <c r="F163" s="29"/>
      <c r="G163" s="129">
        <f>+'WS F Misc Exp'!F69</f>
        <v>0</v>
      </c>
      <c r="H163" s="698"/>
      <c r="I163" s="49" t="s">
        <v>569</v>
      </c>
      <c r="J163" s="50">
        <f>VLOOKUP(I163,APCo_Proj_Allocators,2,FALSE)</f>
        <v>1</v>
      </c>
      <c r="K163" s="19"/>
      <c r="L163" s="144">
        <f>+J163*G163</f>
        <v>0</v>
      </c>
      <c r="O163" s="3"/>
    </row>
    <row r="164" spans="2:15" ht="15" thickBot="1">
      <c r="B164" s="92">
        <f>+B163+1</f>
        <v>99</v>
      </c>
      <c r="C164" s="20"/>
      <c r="D164" s="57" t="s">
        <v>98</v>
      </c>
      <c r="E164" s="29" t="str">
        <f>'Historic TCOS'!E164</f>
        <v>Worksheet O Ln 16 (B),  (Note K &amp; M)</v>
      </c>
      <c r="F164" s="29"/>
      <c r="G164" s="123">
        <f>'Historic TCOS'!G164</f>
        <v>-587.5302000000001</v>
      </c>
      <c r="H164" s="29"/>
      <c r="I164" s="49" t="s">
        <v>571</v>
      </c>
      <c r="J164" s="50">
        <f t="shared" si="10"/>
        <v>0.9987295825771325</v>
      </c>
      <c r="K164" s="29"/>
      <c r="L164" s="123">
        <f>+G164*J164</f>
        <v>-586.7837913974594</v>
      </c>
      <c r="M164" s="101"/>
      <c r="O164" s="3"/>
    </row>
    <row r="165" spans="2:15" ht="15">
      <c r="B165" s="92">
        <f>+B164+1</f>
        <v>100</v>
      </c>
      <c r="C165" s="20"/>
      <c r="D165" s="17" t="s">
        <v>550</v>
      </c>
      <c r="E165" s="29" t="str">
        <f>"(sum lns "&amp;B159&amp;"  to "&amp;B164&amp;")"</f>
        <v>(sum lns 94  to 99)</v>
      </c>
      <c r="F165" s="29"/>
      <c r="G165" s="107">
        <f>SUM(G159:G164)</f>
        <v>168967.4698</v>
      </c>
      <c r="H165" s="122"/>
      <c r="I165" s="32"/>
      <c r="J165" s="43"/>
      <c r="K165" s="19"/>
      <c r="L165" s="107">
        <f>SUM(L159:L164)</f>
        <v>168747.81693455536</v>
      </c>
      <c r="N165" s="107"/>
      <c r="O165" s="3"/>
    </row>
    <row r="166" spans="2:15" ht="15" thickBot="1">
      <c r="B166" s="92"/>
      <c r="C166" s="20"/>
      <c r="D166" s="57"/>
      <c r="E166" s="29"/>
      <c r="F166" s="29"/>
      <c r="G166" s="123"/>
      <c r="H166" s="29"/>
      <c r="I166" s="32"/>
      <c r="J166" s="43"/>
      <c r="K166" s="19"/>
      <c r="L166" s="108"/>
      <c r="O166" s="3"/>
    </row>
    <row r="167" spans="2:15" ht="15">
      <c r="B167" s="96">
        <f>+B165+1</f>
        <v>101</v>
      </c>
      <c r="C167" s="80"/>
      <c r="D167" s="57" t="s">
        <v>66</v>
      </c>
      <c r="E167" s="29" t="str">
        <f>"(ln "&amp;B152&amp;" + ln "&amp;B165&amp;")"</f>
        <v>(ln 88 + ln 100)</v>
      </c>
      <c r="F167" s="29"/>
      <c r="G167" s="122">
        <f>+G152+G165</f>
        <v>183954.4698</v>
      </c>
      <c r="H167" s="122"/>
      <c r="I167" s="49"/>
      <c r="J167" s="29"/>
      <c r="K167" s="29"/>
      <c r="L167" s="122">
        <f>L152+L165</f>
        <v>183734.81693455536</v>
      </c>
      <c r="O167" s="3"/>
    </row>
    <row r="168" spans="2:15" ht="15">
      <c r="B168" s="92">
        <f>+B167+1</f>
        <v>102</v>
      </c>
      <c r="C168" s="80"/>
      <c r="D168" s="57" t="s">
        <v>245</v>
      </c>
      <c r="E168" s="29" t="s">
        <v>264</v>
      </c>
      <c r="F168" s="29"/>
      <c r="G168" s="129">
        <f>+'Historic TCOS'!G168</f>
        <v>0</v>
      </c>
      <c r="H168" s="122"/>
      <c r="I168" s="32" t="s">
        <v>569</v>
      </c>
      <c r="J168" s="50">
        <f>VLOOKUP(I168,APCo_TU_Allocators,2,FALSE)</f>
        <v>1</v>
      </c>
      <c r="K168" s="29"/>
      <c r="L168" s="107">
        <f>J168*G168</f>
        <v>0</v>
      </c>
      <c r="O168" s="3"/>
    </row>
    <row r="169" spans="2:15" ht="15" thickBot="1">
      <c r="B169" s="92">
        <f>+B168+1</f>
        <v>103</v>
      </c>
      <c r="C169" s="80"/>
      <c r="D169" s="57" t="s">
        <v>265</v>
      </c>
      <c r="E169" s="57"/>
      <c r="F169" s="29"/>
      <c r="G169" s="123">
        <f>+'Historic TCOS'!G169</f>
        <v>0</v>
      </c>
      <c r="H169" s="122"/>
      <c r="I169" s="32" t="s">
        <v>569</v>
      </c>
      <c r="J169" s="50">
        <f>VLOOKUP(I169,APCo_TU_Allocators,2,FALSE)</f>
        <v>1</v>
      </c>
      <c r="K169" s="29"/>
      <c r="L169" s="108">
        <f>J169*G169</f>
        <v>0</v>
      </c>
      <c r="O169" s="3"/>
    </row>
    <row r="170" spans="2:15" ht="15">
      <c r="B170" s="92">
        <f>+B169+1</f>
        <v>104</v>
      </c>
      <c r="C170" s="20"/>
      <c r="D170" s="57" t="s">
        <v>551</v>
      </c>
      <c r="E170" s="29" t="str">
        <f>"(ln "&amp;B167&amp;" + ln "&amp;B168&amp;" + ln "&amp;B169&amp;")"</f>
        <v>(ln 101 + ln 102 + ln 103)</v>
      </c>
      <c r="F170" s="29"/>
      <c r="G170" s="122">
        <f>+G167+G168+G169</f>
        <v>183954.4698</v>
      </c>
      <c r="H170" s="122"/>
      <c r="I170" s="49"/>
      <c r="J170" s="29"/>
      <c r="K170" s="29"/>
      <c r="L170" s="122">
        <f>+L167+L168+L169</f>
        <v>183734.81693455536</v>
      </c>
      <c r="O170" s="3"/>
    </row>
    <row r="171" spans="2:15" ht="15">
      <c r="B171" s="92"/>
      <c r="C171" s="20"/>
      <c r="D171" s="57"/>
      <c r="E171" s="19"/>
      <c r="F171" s="19"/>
      <c r="G171" s="107"/>
      <c r="H171" s="29"/>
      <c r="I171" s="19"/>
      <c r="J171" s="19"/>
      <c r="K171" s="19"/>
      <c r="L171" s="107"/>
      <c r="O171" s="3"/>
    </row>
    <row r="172" spans="2:15" ht="15">
      <c r="B172" s="92">
        <f>+B170+1</f>
        <v>105</v>
      </c>
      <c r="C172" s="20"/>
      <c r="D172" s="42" t="s">
        <v>554</v>
      </c>
      <c r="E172" s="49"/>
      <c r="F172" s="49"/>
      <c r="G172" s="107"/>
      <c r="H172" s="29"/>
      <c r="I172" s="32"/>
      <c r="J172" s="19"/>
      <c r="K172" s="19"/>
      <c r="L172" s="107"/>
      <c r="O172" s="3"/>
    </row>
    <row r="173" spans="2:15" ht="15">
      <c r="B173" s="92">
        <f aca="true" t="shared" si="11" ref="B173:B180">+B172+1</f>
        <v>106</v>
      </c>
      <c r="C173" s="20"/>
      <c r="D173" s="1019" t="s">
        <v>877</v>
      </c>
      <c r="E173" s="29"/>
      <c r="F173" s="29"/>
      <c r="G173" s="122"/>
      <c r="H173" s="122"/>
      <c r="I173" s="49"/>
      <c r="J173" s="50"/>
      <c r="K173" s="29"/>
      <c r="L173" s="122"/>
      <c r="O173" s="3"/>
    </row>
    <row r="174" spans="2:15" ht="15">
      <c r="B174" s="92">
        <f t="shared" si="11"/>
        <v>107</v>
      </c>
      <c r="C174" s="20"/>
      <c r="D174" s="1019" t="s">
        <v>877</v>
      </c>
      <c r="E174" s="29"/>
      <c r="F174" s="29"/>
      <c r="G174" s="122"/>
      <c r="H174" s="122"/>
      <c r="I174" s="49"/>
      <c r="J174" s="50"/>
      <c r="K174" s="29"/>
      <c r="L174" s="122"/>
      <c r="O174" s="3"/>
    </row>
    <row r="175" spans="2:15" ht="15">
      <c r="B175" s="92">
        <f t="shared" si="11"/>
        <v>108</v>
      </c>
      <c r="C175" s="20"/>
      <c r="D175" s="45" t="str">
        <f>+D147</f>
        <v>  Transmission </v>
      </c>
      <c r="E175" s="308" t="s">
        <v>73</v>
      </c>
      <c r="F175" s="58"/>
      <c r="G175" s="285">
        <f>+'Historic TCOS'!G175</f>
        <v>0</v>
      </c>
      <c r="H175" s="692"/>
      <c r="I175" s="699" t="s">
        <v>498</v>
      </c>
      <c r="J175" s="50">
        <f>VLOOKUP(I175,APCo_TU_Allocators,2,FALSE)</f>
        <v>1</v>
      </c>
      <c r="K175" s="47"/>
      <c r="L175" s="120">
        <f>J175*G175</f>
        <v>0</v>
      </c>
      <c r="O175" s="3"/>
    </row>
    <row r="176" spans="2:15" ht="15">
      <c r="B176" s="92">
        <f t="shared" si="11"/>
        <v>109</v>
      </c>
      <c r="C176" s="20"/>
      <c r="D176" s="466" t="s">
        <v>241</v>
      </c>
      <c r="E176" s="46"/>
      <c r="F176" s="46"/>
      <c r="G176" s="477" t="s">
        <v>3</v>
      </c>
      <c r="H176" s="107"/>
      <c r="I176" s="32"/>
      <c r="J176" s="43"/>
      <c r="K176" s="19"/>
      <c r="L176" s="477" t="s">
        <v>3</v>
      </c>
      <c r="O176" s="3"/>
    </row>
    <row r="177" spans="2:15" ht="15">
      <c r="B177" s="92">
        <f t="shared" si="11"/>
        <v>110</v>
      </c>
      <c r="C177" s="20"/>
      <c r="D177" s="466" t="str">
        <f>'Historic TCOS'!D177</f>
        <v>     Plus: Formation Costs Amortization</v>
      </c>
      <c r="E177" s="29" t="str">
        <f>"(Worksheet A ln "&amp;'WS A  - RB Support '!A89&amp;".E)"</f>
        <v>(Worksheet A ln 35.E)</v>
      </c>
      <c r="F177" s="46"/>
      <c r="G177" s="1160">
        <f>'WS A  - RB Support '!G89</f>
        <v>20101.166666666664</v>
      </c>
      <c r="H177" s="107"/>
      <c r="I177" s="699" t="s">
        <v>498</v>
      </c>
      <c r="J177" s="50">
        <v>1</v>
      </c>
      <c r="K177" s="47"/>
      <c r="L177" s="120">
        <f>J177*G177</f>
        <v>20101.166666666664</v>
      </c>
      <c r="O177" s="3"/>
    </row>
    <row r="178" spans="2:15" ht="15">
      <c r="B178" s="92">
        <f t="shared" si="11"/>
        <v>111</v>
      </c>
      <c r="C178" s="20"/>
      <c r="D178" s="42" t="s">
        <v>575</v>
      </c>
      <c r="E178" s="58" t="s">
        <v>74</v>
      </c>
      <c r="F178" s="19"/>
      <c r="G178" s="122">
        <f>+'Historic TCOS'!G178</f>
        <v>0</v>
      </c>
      <c r="H178" s="122"/>
      <c r="I178" s="32" t="s">
        <v>571</v>
      </c>
      <c r="J178" s="50">
        <f>VLOOKUP(I178,APCo_TU_Allocators,2,FALSE)</f>
        <v>0.9987295825771325</v>
      </c>
      <c r="K178" s="19"/>
      <c r="L178" s="107">
        <f>+J178*G178</f>
        <v>0</v>
      </c>
      <c r="O178" s="3"/>
    </row>
    <row r="179" spans="2:15" ht="15" thickBot="1">
      <c r="B179" s="92">
        <f t="shared" si="11"/>
        <v>112</v>
      </c>
      <c r="C179" s="20"/>
      <c r="D179" s="42" t="s">
        <v>576</v>
      </c>
      <c r="E179" s="46" t="s">
        <v>75</v>
      </c>
      <c r="F179" s="29"/>
      <c r="G179" s="123">
        <f>+'Historic TCOS'!G179</f>
        <v>0</v>
      </c>
      <c r="H179" s="122"/>
      <c r="I179" s="32" t="s">
        <v>571</v>
      </c>
      <c r="J179" s="50">
        <f>VLOOKUP(I179,APCo_TU_Allocators,2,FALSE)</f>
        <v>0.9987295825771325</v>
      </c>
      <c r="K179" s="19"/>
      <c r="L179" s="108">
        <f>+J179*G179</f>
        <v>0</v>
      </c>
      <c r="O179" s="3"/>
    </row>
    <row r="180" spans="2:15" ht="15" customHeight="1">
      <c r="B180" s="92">
        <f t="shared" si="11"/>
        <v>113</v>
      </c>
      <c r="C180" s="20"/>
      <c r="D180" s="42" t="s">
        <v>924</v>
      </c>
      <c r="E180" s="29" t="str">
        <f>"(Ln "&amp;B175&amp;"+"&amp;B176&amp;"+"&amp;B178&amp;"+"&amp;B179&amp;")"</f>
        <v>(Ln 108+109+111+112)</v>
      </c>
      <c r="F180" s="89"/>
      <c r="G180" s="122">
        <f>+G173+G174+G175+G177+G178+G179</f>
        <v>20101.166666666664</v>
      </c>
      <c r="H180" s="29"/>
      <c r="I180" s="32"/>
      <c r="J180" s="19"/>
      <c r="K180" s="19"/>
      <c r="L180" s="122">
        <f>+L173+L174+L175+L177+L178+L179</f>
        <v>20101.166666666664</v>
      </c>
      <c r="O180" s="3"/>
    </row>
    <row r="181" spans="2:15" ht="15">
      <c r="B181" s="92"/>
      <c r="C181" s="20"/>
      <c r="D181" s="42"/>
      <c r="E181" s="29"/>
      <c r="F181" s="89"/>
      <c r="G181" s="107"/>
      <c r="H181" s="29"/>
      <c r="I181" s="32"/>
      <c r="J181" s="19"/>
      <c r="K181" s="19"/>
      <c r="L181" s="107"/>
      <c r="O181" s="3"/>
    </row>
    <row r="182" spans="2:15" ht="15">
      <c r="B182" s="92">
        <f>+B180+1</f>
        <v>114</v>
      </c>
      <c r="C182" s="20"/>
      <c r="D182" s="42" t="s">
        <v>502</v>
      </c>
      <c r="E182" s="15" t="s">
        <v>76</v>
      </c>
      <c r="F182" s="13"/>
      <c r="G182" s="107"/>
      <c r="H182" s="29"/>
      <c r="I182" s="32"/>
      <c r="J182" s="19"/>
      <c r="K182" s="19"/>
      <c r="L182" s="107"/>
      <c r="O182" s="3"/>
    </row>
    <row r="183" spans="2:15" ht="15">
      <c r="B183" s="92">
        <f aca="true" t="shared" si="12" ref="B183:B189">+B182+1</f>
        <v>115</v>
      </c>
      <c r="C183" s="20"/>
      <c r="D183" s="42" t="s">
        <v>577</v>
      </c>
      <c r="E183" s="13"/>
      <c r="F183" s="13"/>
      <c r="G183" s="107"/>
      <c r="H183" s="29"/>
      <c r="I183" s="32"/>
      <c r="J183" s="13"/>
      <c r="K183" s="19"/>
      <c r="L183" s="107"/>
      <c r="O183" s="3"/>
    </row>
    <row r="184" spans="2:15" ht="15">
      <c r="B184" s="92">
        <f t="shared" si="12"/>
        <v>116</v>
      </c>
      <c r="C184" s="20"/>
      <c r="D184" s="42" t="s">
        <v>578</v>
      </c>
      <c r="E184" s="29" t="str">
        <f>"Worksheet H ln "&amp;'WS H-p1 Other Taxes'!A41&amp;"."&amp;'WS H-p1 Other Taxes'!I8&amp;""</f>
        <v>Worksheet H ln 23.(D)</v>
      </c>
      <c r="F184" s="19"/>
      <c r="G184" s="122">
        <f>+'Historic TCOS'!G184</f>
        <v>0</v>
      </c>
      <c r="H184" s="122"/>
      <c r="I184" s="32" t="s">
        <v>571</v>
      </c>
      <c r="J184" s="50">
        <f>VLOOKUP(I184,APCo_TU_Allocators,2,FALSE)</f>
        <v>0.9987295825771325</v>
      </c>
      <c r="K184" s="19"/>
      <c r="L184" s="107">
        <f>+J184*G184</f>
        <v>0</v>
      </c>
      <c r="O184" s="3"/>
    </row>
    <row r="185" spans="2:15" ht="15">
      <c r="B185" s="92">
        <f t="shared" si="12"/>
        <v>117</v>
      </c>
      <c r="C185" s="20"/>
      <c r="D185" s="42" t="s">
        <v>579</v>
      </c>
      <c r="E185" s="29" t="s">
        <v>555</v>
      </c>
      <c r="F185" s="19"/>
      <c r="G185" s="122"/>
      <c r="H185" s="122"/>
      <c r="I185" s="32"/>
      <c r="J185" s="13"/>
      <c r="K185" s="19"/>
      <c r="L185" s="107"/>
      <c r="O185" s="3"/>
    </row>
    <row r="186" spans="2:15" ht="15">
      <c r="B186" s="96">
        <f t="shared" si="12"/>
        <v>118</v>
      </c>
      <c r="C186" s="80"/>
      <c r="D186" s="61" t="s">
        <v>580</v>
      </c>
      <c r="E186" s="29" t="str">
        <f>"Worksheet H ln "&amp;'WS H-p1 Other Taxes'!A41&amp;".(C) &amp; ln "&amp;'WS H-p1 Other Taxes'!A85&amp;"."&amp;'WS H-p1 Other Taxes'!G8&amp;""</f>
        <v>Worksheet H ln 23.(C) &amp; ln 58.(C)</v>
      </c>
      <c r="F186" s="29"/>
      <c r="G186" s="122">
        <f>+'Historic TCOS'!G186</f>
        <v>0</v>
      </c>
      <c r="H186" s="122"/>
      <c r="I186" s="49" t="s">
        <v>569</v>
      </c>
      <c r="J186" s="50"/>
      <c r="K186" s="29"/>
      <c r="L186" s="122">
        <f>IF(G186=0,0,+'WS H-p1 Other Taxes'!G85)</f>
        <v>0</v>
      </c>
      <c r="O186" s="8"/>
    </row>
    <row r="187" spans="2:15" ht="15">
      <c r="B187" s="92">
        <f t="shared" si="12"/>
        <v>119</v>
      </c>
      <c r="C187" s="20"/>
      <c r="D187" s="42" t="s">
        <v>660</v>
      </c>
      <c r="E187" s="29" t="str">
        <f>"Worksheet H ln "&amp;'WS H-p1 Other Taxes'!A41&amp;"."&amp;'WS H-p1 Other Taxes'!M8&amp;""</f>
        <v>Worksheet H ln 23.(F)</v>
      </c>
      <c r="F187" s="19"/>
      <c r="G187" s="122">
        <f>+'Historic TCOS'!G187</f>
        <v>-765</v>
      </c>
      <c r="H187" s="101"/>
      <c r="I187" s="32" t="s">
        <v>567</v>
      </c>
      <c r="J187" s="50">
        <f>VLOOKUP(I187,APCo_TU_Allocators,2,FALSE)</f>
        <v>0</v>
      </c>
      <c r="K187" s="19"/>
      <c r="L187" s="107">
        <f>+J187*G187</f>
        <v>0</v>
      </c>
      <c r="O187" s="3"/>
    </row>
    <row r="188" spans="2:15" ht="15" thickBot="1">
      <c r="B188" s="92">
        <f t="shared" si="12"/>
        <v>120</v>
      </c>
      <c r="C188" s="20"/>
      <c r="D188" s="42" t="s">
        <v>581</v>
      </c>
      <c r="E188" s="29" t="str">
        <f>"Worksheet H ln "&amp;'WS H-p1 Other Taxes'!A41&amp;"."&amp;'WS H-p1 Other Taxes'!K8&amp;""</f>
        <v>Worksheet H ln 23.(E)</v>
      </c>
      <c r="F188" s="19"/>
      <c r="G188" s="123">
        <f>+'Historic TCOS'!G188</f>
        <v>0</v>
      </c>
      <c r="H188" s="101"/>
      <c r="I188" s="32" t="s">
        <v>960</v>
      </c>
      <c r="J188" s="50">
        <f>VLOOKUP(I188,APCo_TU_Allocators,2,FALSE)</f>
        <v>0</v>
      </c>
      <c r="K188" s="19"/>
      <c r="L188" s="108">
        <f>+J188*G188</f>
        <v>0</v>
      </c>
      <c r="O188" s="3"/>
    </row>
    <row r="189" spans="2:15" ht="15">
      <c r="B189" s="92">
        <f t="shared" si="12"/>
        <v>121</v>
      </c>
      <c r="C189" s="20"/>
      <c r="D189" s="42" t="s">
        <v>503</v>
      </c>
      <c r="E189" s="105" t="str">
        <f>"(sum lns "&amp;B184&amp;" to "&amp;B188&amp;")"</f>
        <v>(sum lns 116 to 120)</v>
      </c>
      <c r="F189" s="19"/>
      <c r="G189" s="122">
        <f>SUM(G184:G188)</f>
        <v>-765</v>
      </c>
      <c r="H189" s="29"/>
      <c r="I189" s="32"/>
      <c r="J189" s="31"/>
      <c r="K189" s="19"/>
      <c r="L189" s="107">
        <f>SUM(L184:L188)</f>
        <v>0</v>
      </c>
      <c r="O189" s="3"/>
    </row>
    <row r="190" spans="2:15" ht="15">
      <c r="B190" s="92"/>
      <c r="C190" s="20"/>
      <c r="D190" s="42"/>
      <c r="E190" s="19"/>
      <c r="F190" s="19"/>
      <c r="G190" s="19"/>
      <c r="H190" s="29"/>
      <c r="I190" s="32"/>
      <c r="J190" s="31"/>
      <c r="K190" s="19"/>
      <c r="L190" s="19"/>
      <c r="O190" s="3"/>
    </row>
    <row r="191" spans="2:15" ht="15">
      <c r="B191" s="92">
        <f>+B189+1</f>
        <v>122</v>
      </c>
      <c r="C191" s="20"/>
      <c r="D191" s="42" t="s">
        <v>962</v>
      </c>
      <c r="E191" s="29" t="s">
        <v>77</v>
      </c>
      <c r="F191" s="64"/>
      <c r="G191" s="19"/>
      <c r="H191" s="102"/>
      <c r="I191" s="23"/>
      <c r="J191" s="13"/>
      <c r="K191" s="19"/>
      <c r="L191" s="478"/>
      <c r="O191" s="3"/>
    </row>
    <row r="192" spans="2:15" ht="15">
      <c r="B192" s="92">
        <f aca="true" t="shared" si="13" ref="B192:B197">+B191+1</f>
        <v>123</v>
      </c>
      <c r="C192" s="20"/>
      <c r="D192" s="60" t="s">
        <v>963</v>
      </c>
      <c r="E192" s="19"/>
      <c r="F192" s="503"/>
      <c r="G192" s="429">
        <f>IF(F356&gt;0,1-(((1-F357)*(1-F356))/(1-F357*F356*F358)),0)</f>
        <v>0.389</v>
      </c>
      <c r="H192" s="372"/>
      <c r="I192" s="23"/>
      <c r="J192" s="372"/>
      <c r="K192" s="19"/>
      <c r="L192" s="478"/>
      <c r="O192" s="3"/>
    </row>
    <row r="193" spans="2:15" ht="15">
      <c r="B193" s="92">
        <f t="shared" si="13"/>
        <v>124</v>
      </c>
      <c r="C193" s="20"/>
      <c r="D193" s="51" t="s">
        <v>964</v>
      </c>
      <c r="E193" s="19"/>
      <c r="F193" s="503"/>
      <c r="G193" s="429">
        <f>IF(L273&gt;0,($G192/(1-$G192))*(1-$L273/$L276),0)</f>
        <v>0.42082491780009</v>
      </c>
      <c r="H193" s="372"/>
      <c r="I193" s="23"/>
      <c r="J193" s="13"/>
      <c r="K193" s="19"/>
      <c r="L193" s="478"/>
      <c r="O193" s="3"/>
    </row>
    <row r="194" spans="2:15" ht="15">
      <c r="B194" s="92">
        <f t="shared" si="13"/>
        <v>125</v>
      </c>
      <c r="C194" s="20"/>
      <c r="D194" s="61" t="str">
        <f>"       where WCLTD=(ln "&amp;B273&amp;") and WACC = (ln "&amp;B276&amp;")"</f>
        <v>       where WCLTD=(ln 174) and WACC = (ln 177)</v>
      </c>
      <c r="E194" s="29"/>
      <c r="F194" s="700"/>
      <c r="G194" s="19"/>
      <c r="H194" s="102"/>
      <c r="I194" s="23"/>
      <c r="J194" s="701"/>
      <c r="K194" s="19"/>
      <c r="L194" s="469"/>
      <c r="O194" s="3"/>
    </row>
    <row r="195" spans="2:15" ht="15">
      <c r="B195" s="92">
        <f t="shared" si="13"/>
        <v>126</v>
      </c>
      <c r="C195" s="20"/>
      <c r="D195" s="42" t="s">
        <v>80</v>
      </c>
      <c r="E195" s="703"/>
      <c r="F195" s="503"/>
      <c r="G195" s="19"/>
      <c r="H195" s="102"/>
      <c r="I195" s="23"/>
      <c r="J195" s="701"/>
      <c r="K195" s="19"/>
      <c r="L195" s="478"/>
      <c r="O195" s="3"/>
    </row>
    <row r="196" spans="2:15" ht="15">
      <c r="B196" s="92">
        <f t="shared" si="13"/>
        <v>127</v>
      </c>
      <c r="C196" s="20"/>
      <c r="D196" s="62" t="str">
        <f>"      GRCF=1 / (1 - T)  = (from ln "&amp;B192&amp;")"</f>
        <v>      GRCF=1 / (1 - T)  = (from ln 123)</v>
      </c>
      <c r="E196" s="64"/>
      <c r="F196" s="64"/>
      <c r="G196" s="430">
        <f>IF(G192&gt;0,1/(1-G192),0)</f>
        <v>1.6366612111292962</v>
      </c>
      <c r="H196" s="102"/>
      <c r="I196" s="128"/>
      <c r="J196" s="704"/>
      <c r="K196" s="107"/>
      <c r="L196" s="470"/>
      <c r="O196" s="3"/>
    </row>
    <row r="197" spans="2:15" ht="15">
      <c r="B197" s="92">
        <f t="shared" si="13"/>
        <v>128</v>
      </c>
      <c r="C197" s="20"/>
      <c r="D197" s="42" t="s">
        <v>965</v>
      </c>
      <c r="E197" s="43" t="s">
        <v>292</v>
      </c>
      <c r="F197" s="64"/>
      <c r="G197" s="122">
        <f>+'Historic TCOS'!G197</f>
        <v>0</v>
      </c>
      <c r="H197" s="102"/>
      <c r="I197" s="128"/>
      <c r="J197" s="705"/>
      <c r="K197" s="107"/>
      <c r="L197" s="159"/>
      <c r="O197" s="3"/>
    </row>
    <row r="198" spans="2:15" ht="15">
      <c r="B198" s="92"/>
      <c r="C198" s="20"/>
      <c r="D198" s="42"/>
      <c r="E198" s="19"/>
      <c r="F198" s="503"/>
      <c r="G198" s="107"/>
      <c r="H198" s="102"/>
      <c r="I198" s="128"/>
      <c r="J198" s="702"/>
      <c r="K198" s="107"/>
      <c r="L198" s="478"/>
      <c r="O198" s="3"/>
    </row>
    <row r="199" spans="2:15" ht="15">
      <c r="B199" s="92">
        <f>+B197+1</f>
        <v>129</v>
      </c>
      <c r="C199" s="20"/>
      <c r="D199" s="60" t="s">
        <v>971</v>
      </c>
      <c r="E199" s="63" t="str">
        <f>"(ln "&amp;B193&amp;" * ln "&amp;B203&amp;")"</f>
        <v>(ln 124 * ln 132)</v>
      </c>
      <c r="F199" s="160"/>
      <c r="G199" s="107">
        <f>+G193*G203</f>
        <v>54.327772367586206</v>
      </c>
      <c r="H199" s="102"/>
      <c r="I199" s="128"/>
      <c r="J199" s="702"/>
      <c r="K199" s="107"/>
      <c r="L199" s="107">
        <f>+L203*G193</f>
        <v>54.327772367586206</v>
      </c>
      <c r="O199" s="3"/>
    </row>
    <row r="200" spans="2:15" ht="15" thickBot="1">
      <c r="B200" s="92">
        <f>+B199+1</f>
        <v>130</v>
      </c>
      <c r="C200" s="20"/>
      <c r="D200" s="51" t="s">
        <v>972</v>
      </c>
      <c r="E200" s="63" t="str">
        <f>"(ln "&amp;B196&amp;" * ln "&amp;B197&amp;")"</f>
        <v>(ln 127 * ln 128)</v>
      </c>
      <c r="F200" s="63"/>
      <c r="G200" s="108">
        <f>G196*G197</f>
        <v>0</v>
      </c>
      <c r="H200" s="102"/>
      <c r="I200" s="200" t="s">
        <v>961</v>
      </c>
      <c r="J200" s="50">
        <f>VLOOKUP(I200,APCo_TU_Allocators,2,FALSE)</f>
        <v>0</v>
      </c>
      <c r="K200" s="107"/>
      <c r="L200" s="108">
        <f>+G200*J200</f>
        <v>0</v>
      </c>
      <c r="O200" s="3"/>
    </row>
    <row r="201" spans="2:15" ht="15">
      <c r="B201" s="92">
        <f>+B200+1</f>
        <v>131</v>
      </c>
      <c r="C201" s="20"/>
      <c r="D201" s="60" t="s">
        <v>504</v>
      </c>
      <c r="E201" s="19" t="str">
        <f>"(sum lns "&amp;B199&amp;" to "&amp;B200&amp;")"</f>
        <v>(sum lns 129 to 130)</v>
      </c>
      <c r="F201" s="63"/>
      <c r="G201" s="131">
        <f>SUM(G199:G200)</f>
        <v>54.327772367586206</v>
      </c>
      <c r="H201" s="102"/>
      <c r="I201" s="128" t="s">
        <v>555</v>
      </c>
      <c r="J201" s="706"/>
      <c r="K201" s="107"/>
      <c r="L201" s="131">
        <f>SUM(L199:L200)</f>
        <v>54.327772367586206</v>
      </c>
      <c r="O201" s="3"/>
    </row>
    <row r="202" spans="2:15" ht="15">
      <c r="B202" s="92"/>
      <c r="C202" s="20"/>
      <c r="D202" s="42"/>
      <c r="E202" s="19"/>
      <c r="F202" s="19"/>
      <c r="G202" s="19"/>
      <c r="H202" s="29"/>
      <c r="I202" s="32"/>
      <c r="J202" s="31"/>
      <c r="K202" s="19"/>
      <c r="L202" s="19"/>
      <c r="O202" s="3"/>
    </row>
    <row r="203" spans="2:15" ht="15">
      <c r="B203" s="92">
        <f>+B201+1</f>
        <v>132</v>
      </c>
      <c r="C203" s="20"/>
      <c r="D203" s="62" t="s">
        <v>659</v>
      </c>
      <c r="E203" s="62" t="str">
        <f>"(ln "&amp;B128&amp;" * ln "&amp;B276&amp;")"</f>
        <v>(ln 78 * ln 177)</v>
      </c>
      <c r="F203" s="48"/>
      <c r="G203" s="107">
        <f>+$L276*G128</f>
        <v>129.09827833292476</v>
      </c>
      <c r="H203" s="29"/>
      <c r="I203" s="128"/>
      <c r="J203" s="107"/>
      <c r="K203" s="107"/>
      <c r="L203" s="107">
        <f>+L276*L128</f>
        <v>129.09827833292476</v>
      </c>
      <c r="O203" s="159"/>
    </row>
    <row r="204" spans="2:12" ht="15">
      <c r="B204" s="92"/>
      <c r="C204" s="20"/>
      <c r="D204" s="60"/>
      <c r="E204" s="13"/>
      <c r="F204" s="13"/>
      <c r="G204" s="107"/>
      <c r="H204" s="107"/>
      <c r="I204" s="128"/>
      <c r="J204" s="128"/>
      <c r="K204" s="107"/>
      <c r="L204" s="107"/>
    </row>
    <row r="205" spans="2:12" ht="15">
      <c r="B205" s="92">
        <f>+B203+1</f>
        <v>133</v>
      </c>
      <c r="C205" s="20"/>
      <c r="D205" s="691" t="s">
        <v>539</v>
      </c>
      <c r="E205" s="13"/>
      <c r="F205" s="58"/>
      <c r="G205" s="122">
        <f>-'WS D IPP Credits'!C11</f>
        <v>0</v>
      </c>
      <c r="H205" s="122"/>
      <c r="I205" s="132" t="s">
        <v>569</v>
      </c>
      <c r="J205" s="50">
        <f>VLOOKUP(I205,APCo_TU_Allocators,2,FALSE)</f>
        <v>1</v>
      </c>
      <c r="K205" s="120"/>
      <c r="L205" s="107">
        <f>+J205*G205</f>
        <v>0</v>
      </c>
    </row>
    <row r="206" spans="2:12" ht="15">
      <c r="B206" s="639"/>
      <c r="C206" s="20"/>
      <c r="D206" s="691"/>
      <c r="E206" s="13"/>
      <c r="F206" s="58"/>
      <c r="G206" s="122"/>
      <c r="H206" s="122"/>
      <c r="I206" s="132"/>
      <c r="J206" s="50"/>
      <c r="K206" s="120"/>
      <c r="L206" s="107"/>
    </row>
    <row r="207" spans="2:14" ht="15">
      <c r="B207" s="92">
        <f>+B205+1</f>
        <v>134</v>
      </c>
      <c r="C207" s="20"/>
      <c r="D207" s="691" t="str">
        <f>"(Gains) / Losses on Sales of Plant Held for Future Use (Worksheet N, ln "&amp;'WS N - Sale of Plant Held'!A31&amp;", Cols. ("&amp;'WS N - Sale of Plant Held'!O10&amp;" &amp; "&amp;'WS N - Sale of Plant Held'!S10&amp;")"</f>
        <v>(Gains) / Losses on Sales of Plant Held for Future Use (Worksheet N, ln 4, Cols. ((F) &amp; (H))</v>
      </c>
      <c r="E207" s="15"/>
      <c r="F207" s="46"/>
      <c r="G207" s="122">
        <f>+'WS N - Sale of Plant Held'!O31</f>
        <v>0</v>
      </c>
      <c r="H207" s="122"/>
      <c r="I207" s="574"/>
      <c r="J207" s="50"/>
      <c r="K207" s="285"/>
      <c r="L207" s="122">
        <f>'WS N - Sale of Plant Held'!S31</f>
        <v>0</v>
      </c>
      <c r="M207" s="255"/>
      <c r="N207" s="707"/>
    </row>
    <row r="208" spans="2:14" ht="15">
      <c r="B208" s="92"/>
      <c r="C208" s="20"/>
      <c r="D208" s="691"/>
      <c r="E208" s="15"/>
      <c r="F208" s="46"/>
      <c r="G208" s="122"/>
      <c r="H208" s="122"/>
      <c r="I208" s="574"/>
      <c r="J208" s="50"/>
      <c r="K208" s="285"/>
      <c r="L208" s="122"/>
      <c r="M208" s="255"/>
      <c r="N208" s="707"/>
    </row>
    <row r="209" spans="2:14" ht="15">
      <c r="B209" s="92">
        <f>+B207+1</f>
        <v>135</v>
      </c>
      <c r="C209" s="20"/>
      <c r="D209" s="691" t="str">
        <f>" Tax Impact on Net Loss / (Gain) on Sales of Plant Held for Future Use (ln "&amp;B207&amp;" * ln"&amp;B193&amp;")"</f>
        <v> Tax Impact on Net Loss / (Gain) on Sales of Plant Held for Future Use (ln 134 * ln124)</v>
      </c>
      <c r="E209" s="15"/>
      <c r="F209" s="46"/>
      <c r="G209" s="122">
        <f>+-G207*G193</f>
        <v>0</v>
      </c>
      <c r="H209" s="122"/>
      <c r="I209" s="574"/>
      <c r="J209" s="50"/>
      <c r="K209" s="285"/>
      <c r="L209" s="122">
        <f>L207*-G193</f>
        <v>0</v>
      </c>
      <c r="M209" s="255"/>
      <c r="N209" s="707"/>
    </row>
    <row r="210" spans="2:12" ht="15" thickBot="1">
      <c r="B210" s="639"/>
      <c r="C210" s="20"/>
      <c r="D210" s="42"/>
      <c r="E210" s="13"/>
      <c r="F210" s="13"/>
      <c r="G210" s="108"/>
      <c r="H210" s="140"/>
      <c r="I210" s="128"/>
      <c r="J210" s="128"/>
      <c r="K210" s="107"/>
      <c r="L210" s="108"/>
    </row>
    <row r="211" spans="2:12" ht="15" thickBot="1">
      <c r="B211" s="92">
        <f>+B209+1</f>
        <v>136</v>
      </c>
      <c r="C211" s="20"/>
      <c r="D211" s="13" t="s">
        <v>857</v>
      </c>
      <c r="E211" s="13"/>
      <c r="F211" s="13"/>
      <c r="G211" s="157">
        <f>+G205+G203+G201+G189+G180+G170+G207+G209</f>
        <v>203474.06251736716</v>
      </c>
      <c r="H211" s="13"/>
      <c r="I211" s="13"/>
      <c r="J211" s="13"/>
      <c r="K211" s="13"/>
      <c r="L211" s="157">
        <f>+L205+L203+L201+L189+L180+L170+L207+L209</f>
        <v>204019.40965192253</v>
      </c>
    </row>
    <row r="212" spans="2:12" ht="15" thickTop="1">
      <c r="B212" s="92"/>
      <c r="C212" s="20"/>
      <c r="D212" s="17" t="str">
        <f>"    (sum lns "&amp;B170&amp;", "&amp;B180&amp;", "&amp;B189&amp;", "&amp;B201&amp;", "&amp;B203&amp;", "&amp;B205&amp;")"</f>
        <v>    (sum lns 104, 113, 121, 131, 132, 133)</v>
      </c>
      <c r="E212" s="13"/>
      <c r="F212" s="125"/>
      <c r="G212" s="13"/>
      <c r="H212" s="13"/>
      <c r="I212" s="13"/>
      <c r="J212" s="13"/>
      <c r="K212" s="13"/>
      <c r="L212" s="13"/>
    </row>
    <row r="213" spans="2:12" ht="15">
      <c r="B213" s="92"/>
      <c r="C213" s="20"/>
      <c r="D213" s="13"/>
      <c r="E213" s="13"/>
      <c r="F213" s="125"/>
      <c r="G213" s="13"/>
      <c r="H213" s="13"/>
      <c r="I213" s="13"/>
      <c r="J213" s="13"/>
      <c r="K213" s="13"/>
      <c r="L213" s="13"/>
    </row>
    <row r="214" spans="2:12" ht="15">
      <c r="B214" s="92"/>
      <c r="C214" s="20"/>
      <c r="D214" s="17"/>
      <c r="E214" s="13"/>
      <c r="F214" s="23" t="str">
        <f>F131</f>
        <v>AEPTCo subsidiaries in PJM</v>
      </c>
      <c r="G214" s="13"/>
      <c r="H214" s="13"/>
      <c r="I214" s="13"/>
      <c r="J214" s="13"/>
      <c r="K214" s="13"/>
      <c r="L214" s="13"/>
    </row>
    <row r="215" spans="2:12" ht="15">
      <c r="B215" s="92"/>
      <c r="C215" s="20"/>
      <c r="D215" s="17"/>
      <c r="E215" s="13"/>
      <c r="F215" s="23" t="str">
        <f>F132</f>
        <v>Transmission Cost of Service Formula Rate</v>
      </c>
      <c r="G215" s="13"/>
      <c r="H215" s="13"/>
      <c r="I215" s="13"/>
      <c r="J215" s="13"/>
      <c r="K215" s="13"/>
      <c r="L215" s="13"/>
    </row>
    <row r="216" spans="2:11" ht="15">
      <c r="B216" s="13"/>
      <c r="C216" s="20"/>
      <c r="D216" s="13"/>
      <c r="E216" s="13"/>
      <c r="F216" s="23" t="str">
        <f>F133</f>
        <v>Utilizing Actual Cost Data for 2014 with Average Ratebase Balances</v>
      </c>
      <c r="G216" s="13"/>
      <c r="H216" s="13"/>
      <c r="I216" s="13"/>
      <c r="J216" s="13"/>
      <c r="K216" s="13"/>
    </row>
    <row r="217" spans="2:11" ht="15">
      <c r="B217" s="92"/>
      <c r="C217" s="20"/>
      <c r="E217" s="23"/>
      <c r="F217" s="713"/>
      <c r="G217" s="23"/>
      <c r="H217" s="23"/>
      <c r="I217" s="23"/>
      <c r="J217" s="23"/>
      <c r="K217" s="23"/>
    </row>
    <row r="218" spans="2:12" ht="15">
      <c r="B218" s="92"/>
      <c r="C218" s="20"/>
      <c r="D218" s="13"/>
      <c r="E218" s="17"/>
      <c r="F218" s="23" t="str">
        <f>F135</f>
        <v>AEP KENTUCKY TRANSMISSION COMPANY</v>
      </c>
      <c r="G218" s="17"/>
      <c r="H218" s="17"/>
      <c r="I218" s="17"/>
      <c r="J218" s="17"/>
      <c r="K218" s="17"/>
      <c r="L218" s="17"/>
    </row>
    <row r="219" spans="2:12" ht="15">
      <c r="B219" s="92"/>
      <c r="C219" s="20"/>
      <c r="D219" s="13"/>
      <c r="E219" s="17"/>
      <c r="F219" s="23"/>
      <c r="G219" s="17"/>
      <c r="H219" s="17"/>
      <c r="I219" s="17"/>
      <c r="J219" s="17"/>
      <c r="K219" s="17"/>
      <c r="L219" s="17"/>
    </row>
    <row r="220" spans="2:12" ht="15">
      <c r="B220" s="92"/>
      <c r="C220" s="20"/>
      <c r="D220" s="13"/>
      <c r="F220" s="38" t="s">
        <v>509</v>
      </c>
      <c r="G220" s="13"/>
      <c r="H220" s="18"/>
      <c r="I220" s="18"/>
      <c r="J220" s="18"/>
      <c r="K220" s="18"/>
      <c r="L220" s="18"/>
    </row>
    <row r="221" spans="2:12" ht="15">
      <c r="B221" s="92"/>
      <c r="C221" s="20"/>
      <c r="D221" s="40"/>
      <c r="E221" s="18"/>
      <c r="F221" s="18"/>
      <c r="G221" s="18"/>
      <c r="H221" s="18"/>
      <c r="I221" s="18"/>
      <c r="J221" s="18"/>
      <c r="K221" s="18"/>
      <c r="L221" s="18"/>
    </row>
    <row r="222" spans="2:15" ht="15">
      <c r="B222" s="92" t="s">
        <v>557</v>
      </c>
      <c r="C222" s="20"/>
      <c r="D222" s="40"/>
      <c r="E222" s="18"/>
      <c r="F222" s="18"/>
      <c r="G222" s="18"/>
      <c r="H222" s="18"/>
      <c r="I222" s="18"/>
      <c r="J222" s="18"/>
      <c r="K222" s="18"/>
      <c r="L222" s="18"/>
      <c r="O222" s="59"/>
    </row>
    <row r="223" spans="2:16" ht="15" thickBot="1">
      <c r="B223" s="93" t="s">
        <v>558</v>
      </c>
      <c r="C223" s="25"/>
      <c r="D223" s="57" t="s">
        <v>696</v>
      </c>
      <c r="E223" s="26"/>
      <c r="F223" s="26"/>
      <c r="G223" s="26"/>
      <c r="H223" s="26"/>
      <c r="I223" s="26"/>
      <c r="J223" s="26"/>
      <c r="K223" s="15"/>
      <c r="L223" s="13"/>
      <c r="O223" s="59"/>
      <c r="P223"/>
    </row>
    <row r="224" spans="2:16" ht="15">
      <c r="B224" s="92">
        <f>+B211+1</f>
        <v>137</v>
      </c>
      <c r="C224" s="20"/>
      <c r="D224" s="26" t="s">
        <v>605</v>
      </c>
      <c r="E224" s="143" t="str">
        <f>"(ln "&amp;B61&amp;")"</f>
        <v>(ln 20)</v>
      </c>
      <c r="F224" s="71"/>
      <c r="H224" s="72"/>
      <c r="I224" s="72"/>
      <c r="J224" s="72"/>
      <c r="K224" s="72"/>
      <c r="L224" s="129">
        <f>+G61</f>
        <v>0</v>
      </c>
      <c r="O224" s="59"/>
      <c r="P224"/>
    </row>
    <row r="225" spans="2:16" ht="15">
      <c r="B225" s="92">
        <f>+B224+1</f>
        <v>138</v>
      </c>
      <c r="C225" s="20"/>
      <c r="D225" s="26" t="s">
        <v>78</v>
      </c>
      <c r="E225" s="73"/>
      <c r="F225" s="73"/>
      <c r="G225" s="74"/>
      <c r="H225" s="73"/>
      <c r="I225" s="73"/>
      <c r="J225" s="73"/>
      <c r="K225" s="73"/>
      <c r="L225" s="1066">
        <v>0</v>
      </c>
      <c r="P225"/>
    </row>
    <row r="226" spans="2:16" ht="15" thickBot="1">
      <c r="B226" s="92">
        <f>+B225+1</f>
        <v>139</v>
      </c>
      <c r="C226" s="20"/>
      <c r="D226" s="71" t="str">
        <f>"  Less transmission plant included in OATT Ancillary Services (Worksheet A, ln "&amp;'WS A  - RB Support '!A63&amp;", Col. "&amp;'WS A  - RB Support '!E6&amp;")  (Note Q)"</f>
        <v>  Less transmission plant included in OATT Ancillary Services (Worksheet A, ln 23, Col. (C))  (Note Q)</v>
      </c>
      <c r="E226" s="71"/>
      <c r="F226" s="71"/>
      <c r="G226" s="41"/>
      <c r="H226" s="72"/>
      <c r="I226" s="72"/>
      <c r="J226" s="41"/>
      <c r="K226" s="72"/>
      <c r="L226" s="108">
        <f>+'WS A  - RB Support '!G63</f>
        <v>0</v>
      </c>
      <c r="P226"/>
    </row>
    <row r="227" spans="2:16" ht="15">
      <c r="B227" s="92">
        <f>+B226+1</f>
        <v>140</v>
      </c>
      <c r="C227" s="20"/>
      <c r="D227" s="26" t="s">
        <v>697</v>
      </c>
      <c r="E227" s="124" t="str">
        <f>"(ln "&amp;B224&amp;" - ln "&amp;B225&amp;" - ln "&amp;B226&amp;")"</f>
        <v>(ln 137 - ln 138 - ln 139)</v>
      </c>
      <c r="F227" s="71"/>
      <c r="H227" s="72"/>
      <c r="I227" s="72"/>
      <c r="J227" s="41"/>
      <c r="K227" s="72"/>
      <c r="L227" s="129">
        <f>L224-L225-L226</f>
        <v>0</v>
      </c>
      <c r="P227"/>
    </row>
    <row r="228" spans="2:16" ht="15">
      <c r="B228" s="92"/>
      <c r="C228" s="20"/>
      <c r="D228" s="15"/>
      <c r="E228" s="71"/>
      <c r="F228" s="71"/>
      <c r="G228" s="41"/>
      <c r="H228" s="72"/>
      <c r="I228" s="72"/>
      <c r="J228" s="41"/>
      <c r="K228" s="72"/>
      <c r="L228" s="73"/>
      <c r="P228"/>
    </row>
    <row r="229" spans="2:16" ht="15">
      <c r="B229" s="92">
        <f>+B227+1</f>
        <v>141</v>
      </c>
      <c r="C229" s="20"/>
      <c r="D229" s="26" t="s">
        <v>698</v>
      </c>
      <c r="E229" s="76" t="str">
        <f>"(ln "&amp;B227&amp;" / ln "&amp;B224&amp;")"</f>
        <v>(ln 140 / ln 137)</v>
      </c>
      <c r="F229" s="75"/>
      <c r="H229" s="77"/>
      <c r="I229" s="78"/>
      <c r="J229" s="78"/>
      <c r="K229" s="1070" t="s">
        <v>582</v>
      </c>
      <c r="L229" s="79">
        <f>IF(L224=0,1,L227/L224)</f>
        <v>1</v>
      </c>
      <c r="P229"/>
    </row>
    <row r="230" spans="2:12" ht="15">
      <c r="B230" s="92"/>
      <c r="C230" s="20"/>
      <c r="D230" s="70"/>
      <c r="E230" s="26"/>
      <c r="F230" s="26"/>
      <c r="G230" s="142"/>
      <c r="H230" s="26"/>
      <c r="I230" s="80"/>
      <c r="J230" s="26"/>
      <c r="K230" s="26"/>
      <c r="L230" s="18"/>
    </row>
    <row r="231" spans="2:12" ht="30">
      <c r="B231" s="96">
        <f>B229+1</f>
        <v>142</v>
      </c>
      <c r="C231" s="80"/>
      <c r="D231" s="57" t="s">
        <v>510</v>
      </c>
      <c r="E231" s="49" t="s">
        <v>973</v>
      </c>
      <c r="F231" s="49" t="s">
        <v>643</v>
      </c>
      <c r="G231" s="209" t="s">
        <v>689</v>
      </c>
      <c r="H231" s="204" t="s">
        <v>559</v>
      </c>
      <c r="I231" s="32"/>
      <c r="J231" s="19"/>
      <c r="K231" s="19"/>
      <c r="L231" s="19"/>
    </row>
    <row r="232" spans="2:12" ht="15">
      <c r="B232" s="96">
        <f aca="true" t="shared" si="14" ref="B232:B237">+B231+1</f>
        <v>143</v>
      </c>
      <c r="C232" s="80"/>
      <c r="D232" s="1019" t="s">
        <v>877</v>
      </c>
      <c r="E232" s="29"/>
      <c r="F232" s="29"/>
      <c r="G232" s="122"/>
      <c r="H232" s="122"/>
      <c r="I232" s="49"/>
      <c r="J232" s="50"/>
      <c r="K232" s="29"/>
      <c r="L232" s="122"/>
    </row>
    <row r="233" spans="2:12" ht="15">
      <c r="B233" s="96">
        <f t="shared" si="14"/>
        <v>144</v>
      </c>
      <c r="C233" s="80"/>
      <c r="D233" s="61" t="s">
        <v>568</v>
      </c>
      <c r="E233" s="29" t="s">
        <v>466</v>
      </c>
      <c r="F233" s="122">
        <f>+'Historic TCOS'!F233</f>
        <v>0</v>
      </c>
      <c r="G233" s="205">
        <f>+'Historic TCOS'!G233</f>
        <v>5503</v>
      </c>
      <c r="H233" s="205">
        <f>+F233+G233</f>
        <v>5503</v>
      </c>
      <c r="I233" s="80" t="s">
        <v>561</v>
      </c>
      <c r="J233" s="50">
        <f>VLOOKUP(I233,APCo_TU_Allocators,2,FALSE)</f>
        <v>1</v>
      </c>
      <c r="K233" s="82"/>
      <c r="L233" s="107">
        <f>(F233+G233)*J233</f>
        <v>5503</v>
      </c>
    </row>
    <row r="234" spans="2:12" ht="15">
      <c r="B234" s="96">
        <f t="shared" si="14"/>
        <v>145</v>
      </c>
      <c r="C234" s="80"/>
      <c r="D234" s="61" t="s">
        <v>745</v>
      </c>
      <c r="E234" s="19" t="s">
        <v>186</v>
      </c>
      <c r="F234" s="122">
        <f>+'Historic TCOS'!F234</f>
        <v>0</v>
      </c>
      <c r="G234" s="122">
        <f>+'Historic TCOS'!G234</f>
        <v>0</v>
      </c>
      <c r="H234" s="122">
        <f>+F234+G234</f>
        <v>0</v>
      </c>
      <c r="I234" s="32" t="s">
        <v>567</v>
      </c>
      <c r="J234" s="50">
        <f>VLOOKUP(I234,APCo_TU_Allocators,2,FALSE)</f>
        <v>0</v>
      </c>
      <c r="K234" s="82"/>
      <c r="L234" s="122">
        <f>(F234+G234)*J234</f>
        <v>0</v>
      </c>
    </row>
    <row r="235" spans="2:12" ht="15">
      <c r="B235" s="96">
        <f t="shared" si="14"/>
        <v>146</v>
      </c>
      <c r="C235" s="80"/>
      <c r="D235" s="1019" t="s">
        <v>877</v>
      </c>
      <c r="E235" s="29"/>
      <c r="F235" s="29"/>
      <c r="G235" s="122"/>
      <c r="H235" s="122"/>
      <c r="I235" s="49"/>
      <c r="J235" s="50"/>
      <c r="K235" s="29"/>
      <c r="L235" s="122"/>
    </row>
    <row r="236" spans="2:12" ht="15" thickBot="1">
      <c r="B236" s="96">
        <f t="shared" si="14"/>
        <v>147</v>
      </c>
      <c r="C236" s="80"/>
      <c r="D236" s="61" t="s">
        <v>661</v>
      </c>
      <c r="E236" s="19" t="s">
        <v>81</v>
      </c>
      <c r="F236" s="108">
        <f>+'Historic TCOS'!F236</f>
        <v>0</v>
      </c>
      <c r="G236" s="108">
        <f>+'Historic TCOS'!G236</f>
        <v>7</v>
      </c>
      <c r="H236" s="108">
        <f>+F236+G236</f>
        <v>7</v>
      </c>
      <c r="I236" s="32" t="s">
        <v>567</v>
      </c>
      <c r="J236" s="50">
        <f>VLOOKUP(I236,APCo_TU_Allocators,2,FALSE)</f>
        <v>0</v>
      </c>
      <c r="K236" s="82"/>
      <c r="L236" s="108">
        <f>(F236+G236)*J236</f>
        <v>0</v>
      </c>
    </row>
    <row r="237" spans="2:12" ht="15">
      <c r="B237" s="96">
        <f t="shared" si="14"/>
        <v>148</v>
      </c>
      <c r="C237" s="80"/>
      <c r="D237" s="61" t="s">
        <v>559</v>
      </c>
      <c r="E237" s="61" t="str">
        <f>"(sum lns "&amp;B233&amp;", "&amp;B234&amp;", &amp; "&amp;B236&amp;")"</f>
        <v>(sum lns 144, 145, &amp; 147)</v>
      </c>
      <c r="F237" s="107">
        <f>SUM(F232:F236)</f>
        <v>0</v>
      </c>
      <c r="G237" s="205">
        <f>SUM(G232:G236)</f>
        <v>5510</v>
      </c>
      <c r="H237" s="205">
        <f>SUM(H232:H236)</f>
        <v>5510</v>
      </c>
      <c r="I237" s="32"/>
      <c r="J237" s="19"/>
      <c r="K237" s="19"/>
      <c r="L237" s="107">
        <f>SUM(L232:L236)</f>
        <v>5503</v>
      </c>
    </row>
    <row r="238" spans="2:9" ht="15">
      <c r="B238" s="96"/>
      <c r="C238" s="80"/>
      <c r="D238" s="61" t="s">
        <v>555</v>
      </c>
      <c r="E238" s="29" t="s">
        <v>555</v>
      </c>
      <c r="F238" s="29"/>
      <c r="G238" s="15"/>
      <c r="H238" s="29"/>
      <c r="I238" s="141"/>
    </row>
    <row r="239" spans="2:12" ht="15">
      <c r="B239" s="92">
        <f>B237+1</f>
        <v>149</v>
      </c>
      <c r="C239" s="20"/>
      <c r="D239" s="42" t="s">
        <v>513</v>
      </c>
      <c r="E239" s="29"/>
      <c r="F239" s="29"/>
      <c r="G239" s="29"/>
      <c r="H239" s="29"/>
      <c r="I239" s="141"/>
      <c r="K239" s="126" t="s">
        <v>514</v>
      </c>
      <c r="L239" s="127">
        <f>L237/(F237+G237)</f>
        <v>0.9987295825771325</v>
      </c>
    </row>
    <row r="240" spans="2:12" ht="15">
      <c r="B240" s="92"/>
      <c r="C240" s="20"/>
      <c r="D240" s="42"/>
      <c r="E240" s="29"/>
      <c r="F240" s="29"/>
      <c r="G240" s="29"/>
      <c r="H240" s="29"/>
      <c r="I240" s="32"/>
      <c r="J240" s="19"/>
      <c r="K240" s="19"/>
      <c r="L240" s="19"/>
    </row>
    <row r="241" spans="2:14" ht="15">
      <c r="B241" s="92"/>
      <c r="C241" s="20"/>
      <c r="D241" s="1006" t="s">
        <v>997</v>
      </c>
      <c r="E241" s="29"/>
      <c r="F241" s="29"/>
      <c r="G241" s="29"/>
      <c r="H241" s="29"/>
      <c r="I241" s="32"/>
      <c r="J241" s="19"/>
      <c r="K241" s="19"/>
      <c r="L241" s="19"/>
      <c r="M241" s="19"/>
      <c r="N241" s="16"/>
    </row>
    <row r="242" spans="2:14" ht="15" thickBot="1">
      <c r="B242" s="92">
        <f>B239+1</f>
        <v>150</v>
      </c>
      <c r="C242" s="20"/>
      <c r="D242" s="61" t="s">
        <v>658</v>
      </c>
      <c r="E242" s="29"/>
      <c r="F242" s="29"/>
      <c r="G242" s="29"/>
      <c r="H242" s="29"/>
      <c r="I242" s="29"/>
      <c r="J242" s="29"/>
      <c r="K242" s="29"/>
      <c r="L242" s="211" t="s">
        <v>583</v>
      </c>
      <c r="M242" s="19"/>
      <c r="N242" s="16"/>
    </row>
    <row r="243" spans="2:14" ht="15">
      <c r="B243" s="92">
        <f>B242+1</f>
        <v>151</v>
      </c>
      <c r="C243" s="20"/>
      <c r="D243" s="29" t="s">
        <v>694</v>
      </c>
      <c r="E243" s="16" t="str">
        <f>"(Worksheet M, ln. "&amp;'WS M - Avg Cap Structure'!A36&amp;", col. "&amp;'WS M - Avg Cap Structure'!E6&amp;")"</f>
        <v>(Worksheet M, ln. 20, col. (E))</v>
      </c>
      <c r="F243" s="29"/>
      <c r="G243" s="29"/>
      <c r="H243" s="29"/>
      <c r="I243" s="29"/>
      <c r="J243" s="29"/>
      <c r="K243" s="29"/>
      <c r="L243" s="122">
        <f>'WS M - Avg Cap Structure'!E36</f>
        <v>21257</v>
      </c>
      <c r="M243" s="19"/>
      <c r="N243" s="16"/>
    </row>
    <row r="244" spans="2:14" ht="15">
      <c r="B244" s="92">
        <f aca="true" t="shared" si="15" ref="B244:B250">B243+1</f>
        <v>152</v>
      </c>
      <c r="C244" s="20"/>
      <c r="D244" s="29" t="s">
        <v>695</v>
      </c>
      <c r="E244" s="16" t="str">
        <f>"(Worksheet M, ln. "&amp;'WS M - Avg Cap Structure'!A78&amp;", col. "&amp;'WS M - Avg Cap Structure'!E6&amp;")"</f>
        <v>(Worksheet M, ln. 49, col. (E))</v>
      </c>
      <c r="F244" s="29"/>
      <c r="G244" s="29"/>
      <c r="H244" s="29"/>
      <c r="I244" s="29"/>
      <c r="J244" s="29"/>
      <c r="K244" s="29"/>
      <c r="L244" s="122">
        <f>'WS M - Avg Cap Structure'!E78</f>
        <v>0</v>
      </c>
      <c r="M244" s="19"/>
      <c r="N244" s="16"/>
    </row>
    <row r="245" spans="2:14" ht="15">
      <c r="B245" s="92">
        <f t="shared" si="15"/>
        <v>153</v>
      </c>
      <c r="C245" s="20"/>
      <c r="D245" s="290" t="s">
        <v>998</v>
      </c>
      <c r="E245" s="29"/>
      <c r="F245" s="29"/>
      <c r="G245" s="29"/>
      <c r="H245" s="101"/>
      <c r="I245" s="29"/>
      <c r="J245" s="29"/>
      <c r="K245" s="29"/>
      <c r="L245" s="122"/>
      <c r="M245" s="19"/>
      <c r="N245" s="16"/>
    </row>
    <row r="246" spans="2:14" ht="15">
      <c r="B246" s="92">
        <f t="shared" si="15"/>
        <v>154</v>
      </c>
      <c r="C246" s="20"/>
      <c r="D246" s="29" t="s">
        <v>838</v>
      </c>
      <c r="E246" s="16" t="str">
        <f>"(Worksheet M, ln. "&amp;'WS M - Avg Cap Structure'!A11&amp;", col. "&amp;'WS M - Avg Cap Structure'!E$6&amp;")"</f>
        <v>(Worksheet M, ln. 1, col. (E))</v>
      </c>
      <c r="F246" s="29"/>
      <c r="G246" s="26"/>
      <c r="H246" s="101"/>
      <c r="I246" s="29"/>
      <c r="J246" s="29"/>
      <c r="K246" s="29"/>
      <c r="L246" s="122">
        <f>'WS M - Avg Cap Structure'!E11</f>
        <v>6068642</v>
      </c>
      <c r="M246" s="19"/>
      <c r="N246" s="16"/>
    </row>
    <row r="247" spans="2:14" ht="15">
      <c r="B247" s="92">
        <f t="shared" si="15"/>
        <v>155</v>
      </c>
      <c r="C247" s="20"/>
      <c r="D247" s="29" t="s">
        <v>1018</v>
      </c>
      <c r="E247" s="16" t="str">
        <f>"(Worksheet M, ln. "&amp;'WS M - Avg Cap Structure'!A12&amp;", col. "&amp;'WS M - Avg Cap Structure'!E$6&amp;")"</f>
        <v>(Worksheet M, ln. 2, col. (E))</v>
      </c>
      <c r="F247" s="29"/>
      <c r="G247" s="29"/>
      <c r="H247" s="101"/>
      <c r="I247" s="29"/>
      <c r="J247" s="29"/>
      <c r="K247" s="29"/>
      <c r="L247" s="122">
        <f>'WS M - Avg Cap Structure'!E12</f>
        <v>0</v>
      </c>
      <c r="M247" s="19"/>
      <c r="N247" s="16"/>
    </row>
    <row r="248" spans="2:14" ht="15">
      <c r="B248" s="92">
        <f t="shared" si="15"/>
        <v>156</v>
      </c>
      <c r="C248" s="20"/>
      <c r="D248" s="29" t="s">
        <v>1010</v>
      </c>
      <c r="E248" s="16" t="str">
        <f>"(Worksheet M, ln. "&amp;'WS M - Avg Cap Structure'!A13&amp;", col. "&amp;'WS M - Avg Cap Structure'!E$6&amp;")"</f>
        <v>(Worksheet M, ln. 3, col. (E))</v>
      </c>
      <c r="F248" s="29"/>
      <c r="G248" s="29"/>
      <c r="H248" s="101"/>
      <c r="I248" s="29"/>
      <c r="J248" s="29"/>
      <c r="K248" s="29"/>
      <c r="L248" s="122">
        <f>'WS M - Avg Cap Structure'!E13</f>
        <v>0</v>
      </c>
      <c r="M248" s="19"/>
      <c r="N248" s="16"/>
    </row>
    <row r="249" spans="2:14" ht="15" thickBot="1">
      <c r="B249" s="92">
        <f t="shared" si="15"/>
        <v>157</v>
      </c>
      <c r="C249" s="20"/>
      <c r="D249" s="29" t="s">
        <v>1016</v>
      </c>
      <c r="E249" s="16" t="str">
        <f>"(Worksheet M, ln. "&amp;'WS M - Avg Cap Structure'!A14&amp;", col. "&amp;'WS M - Avg Cap Structure'!E$6&amp;")"</f>
        <v>(Worksheet M, ln. 4, col. (E))</v>
      </c>
      <c r="F249" s="29"/>
      <c r="G249" s="29"/>
      <c r="H249" s="101"/>
      <c r="I249" s="29"/>
      <c r="J249" s="29"/>
      <c r="K249" s="29"/>
      <c r="L249" s="123">
        <f>'WS M - Avg Cap Structure'!E14</f>
        <v>0</v>
      </c>
      <c r="M249" s="19"/>
      <c r="N249" s="16"/>
    </row>
    <row r="250" spans="2:14" ht="15">
      <c r="B250" s="92">
        <f t="shared" si="15"/>
        <v>158</v>
      </c>
      <c r="C250" s="20"/>
      <c r="D250" s="59" t="s">
        <v>999</v>
      </c>
      <c r="E250" s="29" t="str">
        <f>"(ln "&amp;B246&amp;" - ln "&amp;B247&amp;" - ln "&amp;B248&amp;" - ln "&amp;B249&amp;")"</f>
        <v>(ln 154 - ln 155 - ln 156 - ln 157)</v>
      </c>
      <c r="F250" s="256"/>
      <c r="G250" s="59"/>
      <c r="H250" s="26"/>
      <c r="I250" s="26"/>
      <c r="J250" s="26"/>
      <c r="K250" s="26"/>
      <c r="L250" s="122">
        <f>L246-L247-L248-L249</f>
        <v>6068642</v>
      </c>
      <c r="M250" s="19"/>
      <c r="N250" s="16"/>
    </row>
    <row r="251" spans="2:14" ht="15">
      <c r="B251" s="92"/>
      <c r="C251" s="20"/>
      <c r="E251" s="29"/>
      <c r="F251" s="256"/>
      <c r="G251" s="59"/>
      <c r="H251" s="26"/>
      <c r="I251" s="26"/>
      <c r="J251" s="26"/>
      <c r="K251" s="26"/>
      <c r="L251" s="122"/>
      <c r="M251" s="19"/>
      <c r="N251" s="16"/>
    </row>
    <row r="252" spans="2:14" ht="15">
      <c r="B252" s="92"/>
      <c r="C252" s="20"/>
      <c r="D252" s="61"/>
      <c r="E252" s="29"/>
      <c r="F252" s="29"/>
      <c r="G252" s="1185" t="s">
        <v>219</v>
      </c>
      <c r="H252" s="1185"/>
      <c r="I252" s="29"/>
      <c r="J252" s="141" t="s">
        <v>584</v>
      </c>
      <c r="K252" s="29"/>
      <c r="L252" s="29"/>
      <c r="M252" s="19"/>
      <c r="N252" s="16"/>
    </row>
    <row r="253" spans="2:14" ht="15.75" thickBot="1">
      <c r="B253" s="92"/>
      <c r="C253" s="20"/>
      <c r="D253" s="1009" t="s">
        <v>883</v>
      </c>
      <c r="E253" s="257" t="s">
        <v>295</v>
      </c>
      <c r="F253" s="29"/>
      <c r="G253" s="257" t="s">
        <v>217</v>
      </c>
      <c r="H253" s="257" t="s">
        <v>218</v>
      </c>
      <c r="I253" s="29"/>
      <c r="J253" s="1074" t="s">
        <v>1033</v>
      </c>
      <c r="K253" s="29"/>
      <c r="L253" s="257" t="s">
        <v>586</v>
      </c>
      <c r="M253" s="19"/>
      <c r="N253" s="16"/>
    </row>
    <row r="254" spans="2:14" ht="15">
      <c r="B254" s="92">
        <f>B250+1</f>
        <v>159</v>
      </c>
      <c r="C254" s="20"/>
      <c r="D254" s="61" t="str">
        <f>"  Long Term Debt   W/S M, ln "&amp;'WS M - Avg Cap Structure'!A24&amp;", ln "&amp;'WS M - Avg Cap Structure'!A38&amp;", col. "&amp;'WS M - Avg Cap Structure'!E6&amp;")"</f>
        <v>  Long Term Debt   W/S M, ln 11, ln 21, col. (E))</v>
      </c>
      <c r="E254" s="122">
        <f>'WS M - Avg Cap Structure'!E24</f>
        <v>2000000</v>
      </c>
      <c r="F254" s="29"/>
      <c r="G254" s="1071">
        <f>IF($E$257&gt;0,E254/$E$257,0)</f>
        <v>0.2478731860950083</v>
      </c>
      <c r="H254" s="1071">
        <f>IF(G256&gt;E259,1-H255-H256,0)</f>
        <v>0.5</v>
      </c>
      <c r="I254" s="811"/>
      <c r="J254" s="1071">
        <f>IF(E254&gt;0,L243/E254,0)</f>
        <v>0.0106285</v>
      </c>
      <c r="K254" s="15"/>
      <c r="L254" s="812">
        <f>IF(G$254&gt;H$254,J254*G254,J254*H254)</f>
        <v>0.00531425</v>
      </c>
      <c r="M254" s="19"/>
      <c r="N254" s="16"/>
    </row>
    <row r="255" spans="2:14" ht="15">
      <c r="B255" s="92">
        <f>B254+1</f>
        <v>160</v>
      </c>
      <c r="C255" s="20"/>
      <c r="D255" s="61" t="str">
        <f>"  Preferred Stock (ln "&amp;B247&amp;")"</f>
        <v>  Preferred Stock (ln 155)</v>
      </c>
      <c r="E255" s="122">
        <f>L247</f>
        <v>0</v>
      </c>
      <c r="F255" s="15"/>
      <c r="G255" s="1071">
        <f>IF($E$257&gt;0,E255/$E$257,0)</f>
        <v>0</v>
      </c>
      <c r="H255" s="1071">
        <f>IF(G256&gt;E259,G255,0)</f>
        <v>0</v>
      </c>
      <c r="I255" s="811"/>
      <c r="J255" s="1071">
        <f>IF(E255&gt;0,L244/E255,0)</f>
        <v>0</v>
      </c>
      <c r="K255" s="15"/>
      <c r="L255" s="813">
        <f>IF(G$254&gt;H$254,J255*G255,J255*H255)</f>
        <v>0</v>
      </c>
      <c r="M255" s="19"/>
      <c r="N255" s="16"/>
    </row>
    <row r="256" spans="2:14" ht="15" thickBot="1">
      <c r="B256" s="92">
        <f>B255+1</f>
        <v>161</v>
      </c>
      <c r="C256" s="20"/>
      <c r="D256" s="61" t="str">
        <f>"  Common Stock (ln "&amp;B250&amp;")"</f>
        <v>  Common Stock (ln 158)</v>
      </c>
      <c r="E256" s="123">
        <f>L250</f>
        <v>6068642</v>
      </c>
      <c r="F256" s="15"/>
      <c r="G256" s="1072">
        <f>IF($E$257&gt;0,E256/$E$257,0)</f>
        <v>0.7521268139049917</v>
      </c>
      <c r="H256" s="1072">
        <f>IF(G256&gt;E259,E259,0)</f>
        <v>0.5</v>
      </c>
      <c r="I256" s="811"/>
      <c r="J256" s="300">
        <f>'Historic TCOS'!J272</f>
        <v>0.1149</v>
      </c>
      <c r="K256" s="15"/>
      <c r="L256" s="814">
        <f>IF(G$254&gt;H$254,J256*G256,J256*H256)</f>
        <v>0.05745</v>
      </c>
      <c r="M256" s="19"/>
      <c r="N256" s="16"/>
    </row>
    <row r="257" spans="2:14" ht="15">
      <c r="B257" s="92">
        <f>B256+1</f>
        <v>162</v>
      </c>
      <c r="C257" s="20"/>
      <c r="D257" s="61" t="str">
        <f>" Total (Sum lns "&amp;B254&amp;" to "&amp;B256&amp;")"</f>
        <v> Total (Sum lns 159 to 161)</v>
      </c>
      <c r="E257" s="122">
        <f>E256+E255+E254</f>
        <v>8068642</v>
      </c>
      <c r="F257" s="15"/>
      <c r="G257" s="1071">
        <f>SUM(G254:G256)</f>
        <v>1</v>
      </c>
      <c r="H257" s="1071">
        <f>SUM(H254:H256)</f>
        <v>1</v>
      </c>
      <c r="I257" s="29"/>
      <c r="J257" s="815"/>
      <c r="K257" s="258" t="s">
        <v>497</v>
      </c>
      <c r="L257" s="816">
        <f>SUM(L254:L256)</f>
        <v>0.06276425000000001</v>
      </c>
      <c r="M257" s="19"/>
      <c r="N257" s="16"/>
    </row>
    <row r="258" spans="2:14" ht="15">
      <c r="B258" s="92"/>
      <c r="C258" s="20"/>
      <c r="D258" s="61"/>
      <c r="F258" s="15"/>
      <c r="G258" s="1005"/>
      <c r="H258" s="59"/>
      <c r="I258" s="29"/>
      <c r="J258" s="815"/>
      <c r="K258" s="258"/>
      <c r="L258" s="816"/>
      <c r="M258" s="19"/>
      <c r="N258" s="16"/>
    </row>
    <row r="259" spans="2:14" ht="15">
      <c r="B259" s="92">
        <f>B257+1</f>
        <v>163</v>
      </c>
      <c r="C259" s="20"/>
      <c r="D259" s="559" t="s">
        <v>668</v>
      </c>
      <c r="E259" s="1159">
        <v>0.5</v>
      </c>
      <c r="F259" s="15"/>
      <c r="G259" s="122"/>
      <c r="I259" s="29"/>
      <c r="J259" s="815"/>
      <c r="K259" s="258"/>
      <c r="L259" s="816"/>
      <c r="M259" s="19"/>
      <c r="N259" s="16"/>
    </row>
    <row r="260" spans="2:12" ht="15">
      <c r="B260" s="92"/>
      <c r="C260" s="20"/>
      <c r="D260" s="42"/>
      <c r="E260" s="125"/>
      <c r="F260" s="19"/>
      <c r="G260" s="13"/>
      <c r="H260" s="19"/>
      <c r="I260" s="19"/>
      <c r="J260" s="19"/>
      <c r="K260" s="39"/>
      <c r="L260" s="81"/>
    </row>
    <row r="261" spans="2:12" ht="15">
      <c r="B261" s="92"/>
      <c r="C261" s="20"/>
      <c r="D261" s="951" t="s">
        <v>103</v>
      </c>
      <c r="E261" s="125"/>
      <c r="F261" s="19"/>
      <c r="G261" s="13"/>
      <c r="H261" s="19"/>
      <c r="I261" s="19"/>
      <c r="J261" s="19"/>
      <c r="K261" s="39"/>
      <c r="L261" s="81"/>
    </row>
    <row r="262" spans="2:12" ht="15" thickBot="1">
      <c r="B262" s="96">
        <f>B259+1</f>
        <v>164</v>
      </c>
      <c r="C262" s="80"/>
      <c r="D262" s="61" t="s">
        <v>658</v>
      </c>
      <c r="E262" s="29"/>
      <c r="F262" s="29"/>
      <c r="G262" s="29"/>
      <c r="H262" s="29"/>
      <c r="I262" s="29"/>
      <c r="J262" s="29"/>
      <c r="K262" s="29"/>
      <c r="L262" s="211" t="s">
        <v>583</v>
      </c>
    </row>
    <row r="263" spans="2:12" ht="15">
      <c r="B263" s="96">
        <f aca="true" t="shared" si="16" ref="B263:B270">+B262+1</f>
        <v>165</v>
      </c>
      <c r="C263" s="80"/>
      <c r="D263" s="29" t="s">
        <v>694</v>
      </c>
      <c r="E263" s="59" t="str">
        <f>"(Worksheet Q, ln. "&amp;'WS Q Cap Structure'!A197&amp;")"</f>
        <v>(Worksheet Q, ln. 132)</v>
      </c>
      <c r="F263" s="29"/>
      <c r="G263" s="29"/>
      <c r="H263" s="1002"/>
      <c r="I263" s="1002"/>
      <c r="J263" s="1002"/>
      <c r="K263" s="1002"/>
      <c r="L263" s="122">
        <f>'WS Q Cap Structure'!J197</f>
        <v>467649989</v>
      </c>
    </row>
    <row r="264" spans="2:12" ht="15">
      <c r="B264" s="96">
        <f t="shared" si="16"/>
        <v>166</v>
      </c>
      <c r="C264" s="80"/>
      <c r="D264" s="29" t="s">
        <v>695</v>
      </c>
      <c r="E264" s="59" t="str">
        <f>"(Worksheet Q, ln. "&amp;'WS Q Cap Structure'!A201&amp;")"</f>
        <v>(Worksheet Q, ln. 134)</v>
      </c>
      <c r="F264" s="29"/>
      <c r="G264" s="29"/>
      <c r="H264" s="1002"/>
      <c r="I264" s="1002"/>
      <c r="J264" s="1012"/>
      <c r="K264" s="1002"/>
      <c r="L264" s="122">
        <f>'WS Q Cap Structure'!J201</f>
        <v>0</v>
      </c>
    </row>
    <row r="265" spans="2:12" ht="15" thickBot="1">
      <c r="B265" s="96">
        <f t="shared" si="16"/>
        <v>167</v>
      </c>
      <c r="C265" s="80"/>
      <c r="D265" s="290" t="s">
        <v>1000</v>
      </c>
      <c r="E265" s="29"/>
      <c r="F265" s="29"/>
      <c r="G265" s="29"/>
      <c r="H265" s="102"/>
      <c r="I265" s="102"/>
      <c r="J265" s="102"/>
      <c r="K265" s="29"/>
      <c r="L265" s="576" t="s">
        <v>294</v>
      </c>
    </row>
    <row r="266" spans="2:12" ht="15">
      <c r="B266" s="96">
        <f t="shared" si="16"/>
        <v>168</v>
      </c>
      <c r="C266" s="80"/>
      <c r="D266" s="29" t="s">
        <v>838</v>
      </c>
      <c r="E266" s="16" t="str">
        <f>"(Worksheet Q, ln. "&amp;'WS Q Cap Structure'!A204&amp;")"</f>
        <v>(Worksheet Q, ln. 135)</v>
      </c>
      <c r="F266" s="29"/>
      <c r="G266" s="26"/>
      <c r="H266" s="102"/>
      <c r="I266" s="102"/>
      <c r="J266" s="102"/>
      <c r="K266" s="29"/>
      <c r="L266" s="205">
        <f>'WS Q Cap Structure'!J204</f>
        <v>7931955416.5</v>
      </c>
    </row>
    <row r="267" spans="2:12" ht="15">
      <c r="B267" s="96">
        <f t="shared" si="16"/>
        <v>169</v>
      </c>
      <c r="C267" s="80"/>
      <c r="D267" s="29" t="s">
        <v>1018</v>
      </c>
      <c r="E267" s="16" t="str">
        <f>"(Worksheet Q, ln. "&amp;'WS Q Cap Structure'!A205&amp;")"</f>
        <v>(Worksheet Q, ln. 136)</v>
      </c>
      <c r="F267" s="29"/>
      <c r="G267" s="29"/>
      <c r="H267" s="102"/>
      <c r="I267" s="102"/>
      <c r="J267" s="102"/>
      <c r="K267" s="29"/>
      <c r="L267" s="205">
        <f>'WS Q Cap Structure'!J205</f>
        <v>0</v>
      </c>
    </row>
    <row r="268" spans="2:12" ht="15">
      <c r="B268" s="96">
        <f t="shared" si="16"/>
        <v>170</v>
      </c>
      <c r="C268" s="80"/>
      <c r="D268" s="29" t="s">
        <v>1017</v>
      </c>
      <c r="E268" s="16" t="str">
        <f>"(Worksheet Q, ln. "&amp;'WS Q Cap Structure'!A206&amp;")"</f>
        <v>(Worksheet Q, ln. 137)</v>
      </c>
      <c r="F268" s="29"/>
      <c r="G268" s="29"/>
      <c r="H268" s="102"/>
      <c r="I268" s="102"/>
      <c r="J268" s="102"/>
      <c r="K268" s="29"/>
      <c r="L268" s="205">
        <f>'WS Q Cap Structure'!J206</f>
        <v>6495865.5</v>
      </c>
    </row>
    <row r="269" spans="2:13" ht="15" thickBot="1">
      <c r="B269" s="96">
        <f t="shared" si="16"/>
        <v>171</v>
      </c>
      <c r="C269" s="80"/>
      <c r="D269" s="29" t="s">
        <v>1016</v>
      </c>
      <c r="E269" s="16" t="str">
        <f>"(Worksheet Q, ln. "&amp;'WS Q Cap Structure'!A207&amp;")"</f>
        <v>(Worksheet Q, ln. 138)</v>
      </c>
      <c r="F269" s="29"/>
      <c r="G269" s="29"/>
      <c r="H269" s="102"/>
      <c r="I269" s="102"/>
      <c r="J269" s="102"/>
      <c r="K269" s="29"/>
      <c r="L269" s="206">
        <f>'WS Q Cap Structure'!J207</f>
        <v>-10105809.5</v>
      </c>
      <c r="M269" s="707"/>
    </row>
    <row r="270" spans="2:13" ht="15">
      <c r="B270" s="96">
        <f t="shared" si="16"/>
        <v>172</v>
      </c>
      <c r="C270" s="80"/>
      <c r="D270" s="16" t="s">
        <v>839</v>
      </c>
      <c r="E270" s="29" t="str">
        <f>"(ln "&amp;B266&amp;" - ln "&amp;B267&amp;" - ln "&amp;B268&amp;" - ln "&amp;B269&amp;")"</f>
        <v>(ln 168 - ln 169 - ln 170 - ln 171)</v>
      </c>
      <c r="F270" s="256"/>
      <c r="G270" s="59"/>
      <c r="H270" s="102"/>
      <c r="I270" s="102"/>
      <c r="J270" s="102"/>
      <c r="K270" s="26"/>
      <c r="L270" s="283">
        <f>+L266-L267-L268-L269</f>
        <v>7935565360.5</v>
      </c>
      <c r="M270" s="707"/>
    </row>
    <row r="271" spans="2:13" ht="15">
      <c r="B271" s="96"/>
      <c r="C271" s="80"/>
      <c r="D271" s="61"/>
      <c r="E271" s="29"/>
      <c r="F271" s="29"/>
      <c r="G271" s="1185"/>
      <c r="H271" s="1185"/>
      <c r="I271" s="29"/>
      <c r="K271" s="29"/>
      <c r="L271" s="29"/>
      <c r="M271" s="707"/>
    </row>
    <row r="272" spans="2:21" ht="15.75" thickBot="1">
      <c r="B272" s="96">
        <f>+B270+1</f>
        <v>173</v>
      </c>
      <c r="C272" s="80"/>
      <c r="D272" s="1009" t="s">
        <v>882</v>
      </c>
      <c r="E272" s="76"/>
      <c r="G272" s="808" t="s">
        <v>585</v>
      </c>
      <c r="H272" s="257" t="s">
        <v>583</v>
      </c>
      <c r="I272" s="29"/>
      <c r="J272" s="809" t="s">
        <v>584</v>
      </c>
      <c r="K272" s="29"/>
      <c r="L272" s="257" t="s">
        <v>586</v>
      </c>
      <c r="M272" s="707"/>
      <c r="O272" s="33"/>
      <c r="P272" s="33"/>
      <c r="Q272" s="33"/>
      <c r="R272" s="33"/>
      <c r="S272" s="33"/>
      <c r="T272" s="33"/>
      <c r="U272" s="33"/>
    </row>
    <row r="273" spans="2:21" ht="15">
      <c r="B273" s="96">
        <f>+B272+1</f>
        <v>174</v>
      </c>
      <c r="C273" s="80"/>
      <c r="D273" s="61" t="str">
        <f>"  Long Term Debt   (Worksheet Q, ln "&amp;'WS Q Cap Structure'!A222&amp;")"</f>
        <v>  Long Term Debt   (Worksheet Q, ln 148)</v>
      </c>
      <c r="G273" s="986">
        <f>'WS Q Cap Structure'!J222</f>
        <v>0.5255667870741091</v>
      </c>
      <c r="H273" s="122">
        <f>$H$276*G273</f>
        <v>8790846586</v>
      </c>
      <c r="I273" s="983"/>
      <c r="J273" s="1071">
        <f>IF(H273&gt;0,L263/H273,0)</f>
        <v>0.053197378025543446</v>
      </c>
      <c r="K273" s="15"/>
      <c r="L273" s="813">
        <f>G273*J273</f>
        <v>0.02795877504965168</v>
      </c>
      <c r="M273" s="707"/>
      <c r="O273" s="33"/>
      <c r="P273" s="33"/>
      <c r="Q273" s="33"/>
      <c r="R273" s="33"/>
      <c r="S273" s="33"/>
      <c r="T273" s="33"/>
      <c r="U273" s="33"/>
    </row>
    <row r="274" spans="2:13" ht="15">
      <c r="B274" s="96">
        <f>+B273+1</f>
        <v>175</v>
      </c>
      <c r="C274" s="80"/>
      <c r="D274" s="61" t="str">
        <f>"  Preferred Stock (Worksheet Q, ln "&amp;'WS Q Cap Structure'!A223&amp;")"</f>
        <v>  Preferred Stock (Worksheet Q, ln 149)</v>
      </c>
      <c r="G274" s="986">
        <f>'WS Q Cap Structure'!J223</f>
        <v>0</v>
      </c>
      <c r="H274" s="122">
        <f>$H$276*G274</f>
        <v>0</v>
      </c>
      <c r="I274" s="983"/>
      <c r="J274" s="1071">
        <f>IF(H274&gt;0,L264/H274,0)</f>
        <v>0</v>
      </c>
      <c r="K274" s="15"/>
      <c r="L274" s="813">
        <f>G274*J274</f>
        <v>0</v>
      </c>
      <c r="M274" s="707"/>
    </row>
    <row r="275" spans="2:13" ht="15" thickBot="1">
      <c r="B275" s="96">
        <f>+B274+1</f>
        <v>176</v>
      </c>
      <c r="C275" s="80"/>
      <c r="D275" s="61" t="str">
        <f>"  Common Stock (Worksheet Q, ln "&amp;'WS Q Cap Structure'!A224&amp;")"</f>
        <v>  Common Stock (Worksheet Q, ln 150)</v>
      </c>
      <c r="G275" s="1013">
        <f>'WS Q Cap Structure'!J224</f>
        <v>0.4744332129258909</v>
      </c>
      <c r="H275" s="123">
        <f>$H$276*G275</f>
        <v>7935565360.5</v>
      </c>
      <c r="I275" s="983"/>
      <c r="J275" s="300">
        <f>+'Historic TCOS'!J272</f>
        <v>0.1149</v>
      </c>
      <c r="K275" s="15"/>
      <c r="L275" s="814">
        <f>G275*J275</f>
        <v>0.05451237616518487</v>
      </c>
      <c r="M275" s="707"/>
    </row>
    <row r="276" spans="2:14" ht="15">
      <c r="B276" s="96">
        <f>+B275+1</f>
        <v>177</v>
      </c>
      <c r="C276" s="80"/>
      <c r="D276" s="61" t="str">
        <f>" Total (Worksheet Q, ln "&amp;'WS Q Cap Structure'!A214&amp;")"</f>
        <v> Total (Worksheet Q, ln 143)</v>
      </c>
      <c r="F276" s="15"/>
      <c r="G276" s="1011">
        <f>SUM(G273:G275)</f>
        <v>1</v>
      </c>
      <c r="H276" s="122">
        <f>'WS Q Cap Structure'!J214</f>
        <v>16726411946.5</v>
      </c>
      <c r="I276" s="984"/>
      <c r="J276" s="815"/>
      <c r="K276" s="258" t="s">
        <v>497</v>
      </c>
      <c r="L276" s="816">
        <f>SUM(L273:L275)</f>
        <v>0.08247115121483654</v>
      </c>
      <c r="M276" s="707"/>
      <c r="N276" s="778"/>
    </row>
    <row r="277" spans="2:21" ht="15">
      <c r="B277" s="95"/>
      <c r="C277" s="707"/>
      <c r="D277" s="707"/>
      <c r="E277" s="255"/>
      <c r="F277" s="255"/>
      <c r="G277" s="255"/>
      <c r="H277" s="255"/>
      <c r="I277" s="255"/>
      <c r="J277" s="1014"/>
      <c r="K277" s="1014"/>
      <c r="L277" s="1014"/>
      <c r="M277" s="707"/>
      <c r="O277" s="86"/>
      <c r="P277" s="86"/>
      <c r="Q277" s="86"/>
      <c r="R277" s="86"/>
      <c r="S277" s="86"/>
      <c r="T277" s="86"/>
      <c r="U277" s="86"/>
    </row>
    <row r="278" spans="2:21" ht="15">
      <c r="B278" s="92"/>
      <c r="C278" s="707"/>
      <c r="F278" s="779"/>
      <c r="G278" s="820"/>
      <c r="H278" s="255"/>
      <c r="I278" s="255"/>
      <c r="J278" s="1002"/>
      <c r="K278" s="1015"/>
      <c r="L278" s="1002"/>
      <c r="M278" s="707"/>
      <c r="O278" s="86"/>
      <c r="P278" s="86"/>
      <c r="Q278" s="86"/>
      <c r="R278" s="86"/>
      <c r="S278" s="86"/>
      <c r="T278" s="86"/>
      <c r="U278" s="86"/>
    </row>
    <row r="279" spans="2:21" ht="15">
      <c r="B279" s="92"/>
      <c r="C279" s="707"/>
      <c r="D279" s="707"/>
      <c r="E279" s="707"/>
      <c r="F279" s="707"/>
      <c r="G279" s="707"/>
      <c r="H279" s="707"/>
      <c r="I279" s="707"/>
      <c r="J279" s="19"/>
      <c r="K279" s="18"/>
      <c r="L279" s="19"/>
      <c r="M279" s="707"/>
      <c r="O279" s="86"/>
      <c r="P279" s="86"/>
      <c r="Q279" s="86"/>
      <c r="R279" s="86"/>
      <c r="S279" s="86"/>
      <c r="T279" s="86"/>
      <c r="U279" s="86"/>
    </row>
    <row r="280" spans="2:21" ht="15">
      <c r="B280" s="639"/>
      <c r="C280" s="20"/>
      <c r="D280" s="66"/>
      <c r="E280" s="66"/>
      <c r="F280" s="23" t="str">
        <f>F214</f>
        <v>AEPTCo subsidiaries in PJM</v>
      </c>
      <c r="G280" s="67"/>
      <c r="H280" s="19"/>
      <c r="I280" s="19"/>
      <c r="J280" s="19"/>
      <c r="K280" s="18"/>
      <c r="L280" s="19"/>
      <c r="O280" s="86"/>
      <c r="P280" s="86"/>
      <c r="Q280" s="86"/>
      <c r="R280" s="86"/>
      <c r="S280" s="86"/>
      <c r="T280" s="86"/>
      <c r="U280" s="86"/>
    </row>
    <row r="281" spans="2:21" ht="15">
      <c r="B281" s="639"/>
      <c r="C281" s="20"/>
      <c r="D281" s="68"/>
      <c r="E281" s="20"/>
      <c r="F281" s="23" t="str">
        <f>F215</f>
        <v>Transmission Cost of Service Formula Rate</v>
      </c>
      <c r="G281" s="19"/>
      <c r="H281" s="19"/>
      <c r="I281" s="19"/>
      <c r="J281" s="19"/>
      <c r="K281" s="18"/>
      <c r="L281" s="69"/>
      <c r="O281" s="86"/>
      <c r="P281" s="86"/>
      <c r="Q281" s="86"/>
      <c r="R281" s="86"/>
      <c r="S281" s="86"/>
      <c r="T281" s="86"/>
      <c r="U281" s="86"/>
    </row>
    <row r="282" spans="2:21" ht="15">
      <c r="B282" s="639"/>
      <c r="C282" s="20"/>
      <c r="D282" s="68"/>
      <c r="E282" s="38"/>
      <c r="F282" s="23" t="str">
        <f>F216</f>
        <v>Utilizing Actual Cost Data for 2014 with Average Ratebase Balances</v>
      </c>
      <c r="G282" s="19"/>
      <c r="H282" s="19"/>
      <c r="I282" s="19"/>
      <c r="J282" s="19"/>
      <c r="K282" s="18"/>
      <c r="L282" s="69"/>
      <c r="O282" s="86"/>
      <c r="P282" s="86"/>
      <c r="Q282" s="86"/>
      <c r="R282" s="86"/>
      <c r="S282" s="86"/>
      <c r="T282" s="86"/>
      <c r="U282" s="86"/>
    </row>
    <row r="283" spans="2:21" ht="15">
      <c r="B283" s="92"/>
      <c r="C283" s="20"/>
      <c r="D283" s="68"/>
      <c r="E283" s="38"/>
      <c r="F283" s="23"/>
      <c r="G283" s="19"/>
      <c r="H283" s="19"/>
      <c r="I283" s="19"/>
      <c r="J283" s="19"/>
      <c r="K283" s="18"/>
      <c r="L283" s="69"/>
      <c r="O283" s="86"/>
      <c r="P283" s="86"/>
      <c r="Q283" s="86"/>
      <c r="R283" s="86"/>
      <c r="S283" s="86"/>
      <c r="T283" s="86"/>
      <c r="U283" s="86"/>
    </row>
    <row r="284" spans="2:21" ht="15">
      <c r="B284" s="92"/>
      <c r="C284" s="20"/>
      <c r="D284" s="68"/>
      <c r="E284" s="38"/>
      <c r="F284" s="23" t="str">
        <f>F218</f>
        <v>AEP KENTUCKY TRANSMISSION COMPANY</v>
      </c>
      <c r="G284" s="19"/>
      <c r="H284" s="19"/>
      <c r="I284" s="19"/>
      <c r="J284" s="19"/>
      <c r="K284" s="18"/>
      <c r="L284" s="69"/>
      <c r="O284" s="86"/>
      <c r="P284" s="86"/>
      <c r="Q284" s="86"/>
      <c r="R284" s="86"/>
      <c r="S284" s="86"/>
      <c r="T284" s="86"/>
      <c r="U284" s="86"/>
    </row>
    <row r="285" spans="2:21" ht="15">
      <c r="B285" s="92"/>
      <c r="C285" s="20"/>
      <c r="D285" s="68"/>
      <c r="E285" s="38"/>
      <c r="F285" s="23"/>
      <c r="G285" s="19"/>
      <c r="H285" s="19"/>
      <c r="I285" s="19"/>
      <c r="J285" s="19"/>
      <c r="K285" s="18"/>
      <c r="L285" s="69"/>
      <c r="O285" s="86"/>
      <c r="P285" s="86"/>
      <c r="Q285" s="86"/>
      <c r="R285" s="86"/>
      <c r="S285" s="86"/>
      <c r="T285" s="86"/>
      <c r="U285" s="86"/>
    </row>
    <row r="286" spans="2:21" ht="15">
      <c r="B286" s="199" t="s">
        <v>615</v>
      </c>
      <c r="C286" s="25"/>
      <c r="D286" s="57"/>
      <c r="E286" s="26"/>
      <c r="F286" s="199" t="s">
        <v>614</v>
      </c>
      <c r="G286" s="29"/>
      <c r="H286" s="29"/>
      <c r="I286" s="29"/>
      <c r="J286" s="29"/>
      <c r="K286" s="26"/>
      <c r="L286" s="29"/>
      <c r="O286" s="86"/>
      <c r="P286" s="86"/>
      <c r="Q286" s="86"/>
      <c r="R286" s="86"/>
      <c r="S286" s="86"/>
      <c r="T286" s="86"/>
      <c r="U286" s="86"/>
    </row>
    <row r="287" spans="3:21" ht="15">
      <c r="C287" s="25"/>
      <c r="L287" s="69"/>
      <c r="O287" s="86"/>
      <c r="P287" s="86"/>
      <c r="Q287" s="86"/>
      <c r="R287" s="86"/>
      <c r="S287" s="86"/>
      <c r="T287" s="86"/>
      <c r="U287" s="86"/>
    </row>
    <row r="288" spans="2:21" ht="15">
      <c r="B288" s="92"/>
      <c r="C288" s="20"/>
      <c r="D288" s="17" t="s">
        <v>367</v>
      </c>
      <c r="E288" s="80"/>
      <c r="F288" s="80"/>
      <c r="G288" s="29"/>
      <c r="H288" s="29"/>
      <c r="I288" s="29"/>
      <c r="J288" s="29"/>
      <c r="K288" s="26"/>
      <c r="L288" s="29"/>
      <c r="O288" s="86"/>
      <c r="P288" s="86"/>
      <c r="Q288" s="86"/>
      <c r="R288" s="86"/>
      <c r="S288" s="86"/>
      <c r="T288" s="86"/>
      <c r="U288" s="86"/>
    </row>
    <row r="289" spans="2:21" ht="15">
      <c r="B289" s="16"/>
      <c r="D289" s="57"/>
      <c r="E289" s="26"/>
      <c r="F289" s="26"/>
      <c r="G289" s="29"/>
      <c r="H289" s="29"/>
      <c r="I289" s="29"/>
      <c r="J289" s="29"/>
      <c r="K289" s="26"/>
      <c r="L289" s="29"/>
      <c r="O289" s="86"/>
      <c r="P289" s="86"/>
      <c r="Q289" s="86"/>
      <c r="R289" s="86"/>
      <c r="S289" s="86"/>
      <c r="T289" s="86"/>
      <c r="U289" s="86"/>
    </row>
    <row r="290" spans="2:21" ht="15">
      <c r="B290" s="16"/>
      <c r="D290" s="57"/>
      <c r="E290" s="26"/>
      <c r="F290" s="26"/>
      <c r="G290" s="29"/>
      <c r="H290" s="29"/>
      <c r="I290" s="29"/>
      <c r="J290" s="29"/>
      <c r="K290" s="26"/>
      <c r="L290" s="29"/>
      <c r="O290" s="86"/>
      <c r="P290" s="86"/>
      <c r="Q290" s="86"/>
      <c r="R290" s="86"/>
      <c r="S290" s="86"/>
      <c r="T290" s="86"/>
      <c r="U290" s="86"/>
    </row>
    <row r="291" spans="2:21" ht="15">
      <c r="B291" s="98" t="s">
        <v>587</v>
      </c>
      <c r="C291" s="25"/>
      <c r="D291" s="57" t="s">
        <v>246</v>
      </c>
      <c r="E291" s="26"/>
      <c r="F291" s="26"/>
      <c r="G291" s="29"/>
      <c r="H291" s="29"/>
      <c r="I291" s="29"/>
      <c r="J291" s="29"/>
      <c r="K291" s="26"/>
      <c r="L291" s="29"/>
      <c r="O291" s="86"/>
      <c r="P291" s="86"/>
      <c r="Q291" s="86"/>
      <c r="R291" s="86"/>
      <c r="S291" s="86"/>
      <c r="T291" s="86"/>
      <c r="U291" s="86"/>
    </row>
    <row r="292" spans="2:21" ht="15">
      <c r="B292" s="98"/>
      <c r="C292" s="85"/>
      <c r="D292" s="57" t="s">
        <v>1019</v>
      </c>
      <c r="E292" s="26"/>
      <c r="F292" s="26"/>
      <c r="G292" s="26"/>
      <c r="H292" s="26"/>
      <c r="I292" s="26"/>
      <c r="J292" s="26"/>
      <c r="K292" s="26"/>
      <c r="L292" s="26"/>
      <c r="O292" s="86"/>
      <c r="P292" s="86"/>
      <c r="Q292" s="86"/>
      <c r="R292" s="86"/>
      <c r="S292" s="86"/>
      <c r="T292" s="86"/>
      <c r="U292" s="86"/>
    </row>
    <row r="293" spans="2:21" ht="15">
      <c r="B293" s="99"/>
      <c r="C293" s="15"/>
      <c r="D293" s="16" t="s">
        <v>1020</v>
      </c>
      <c r="E293" s="90"/>
      <c r="F293" s="90"/>
      <c r="G293" s="26"/>
      <c r="H293" s="26"/>
      <c r="I293" s="26"/>
      <c r="J293" s="26"/>
      <c r="K293" s="26"/>
      <c r="L293" s="26"/>
      <c r="O293" s="86"/>
      <c r="P293" s="86"/>
      <c r="Q293" s="86"/>
      <c r="R293" s="86"/>
      <c r="S293" s="86"/>
      <c r="T293" s="86"/>
      <c r="U293" s="86"/>
    </row>
    <row r="294" spans="2:21" ht="15">
      <c r="B294" s="99"/>
      <c r="C294" s="15"/>
      <c r="D294" s="57" t="s">
        <v>257</v>
      </c>
      <c r="E294" s="26"/>
      <c r="F294" s="26"/>
      <c r="G294" s="26"/>
      <c r="H294" s="26"/>
      <c r="I294" s="26"/>
      <c r="J294" s="26"/>
      <c r="K294" s="26"/>
      <c r="L294" s="26"/>
      <c r="O294" s="86"/>
      <c r="P294" s="86"/>
      <c r="Q294" s="86"/>
      <c r="R294" s="86"/>
      <c r="S294" s="86"/>
      <c r="T294" s="86"/>
      <c r="U294" s="86"/>
    </row>
    <row r="295" spans="2:21" ht="15">
      <c r="B295" s="96"/>
      <c r="C295" s="80"/>
      <c r="D295" s="57" t="s">
        <v>258</v>
      </c>
      <c r="E295" s="26"/>
      <c r="F295" s="26"/>
      <c r="G295" s="26"/>
      <c r="H295" s="26"/>
      <c r="I295" s="26"/>
      <c r="J295" s="26"/>
      <c r="K295" s="26"/>
      <c r="L295" s="26"/>
      <c r="O295" s="86"/>
      <c r="P295" s="86"/>
      <c r="Q295" s="86"/>
      <c r="R295" s="86"/>
      <c r="S295" s="86"/>
      <c r="T295" s="86"/>
      <c r="U295" s="86"/>
    </row>
    <row r="296" spans="2:21" ht="15">
      <c r="B296" s="96"/>
      <c r="C296" s="80"/>
      <c r="D296" s="57" t="s">
        <v>1021</v>
      </c>
      <c r="E296" s="26"/>
      <c r="F296" s="26"/>
      <c r="G296" s="26"/>
      <c r="H296" s="26"/>
      <c r="I296" s="26"/>
      <c r="J296" s="26"/>
      <c r="K296" s="26"/>
      <c r="L296" s="26"/>
      <c r="O296" s="86"/>
      <c r="P296" s="86"/>
      <c r="Q296" s="86"/>
      <c r="R296" s="86"/>
      <c r="S296" s="86"/>
      <c r="T296" s="86"/>
      <c r="U296" s="86"/>
    </row>
    <row r="297" spans="2:21" ht="15">
      <c r="B297" s="96"/>
      <c r="C297" s="80"/>
      <c r="D297" s="57" t="s">
        <v>1022</v>
      </c>
      <c r="E297" s="26"/>
      <c r="F297" s="26"/>
      <c r="G297" s="26"/>
      <c r="H297" s="26"/>
      <c r="I297" s="26"/>
      <c r="J297" s="26"/>
      <c r="K297" s="26"/>
      <c r="L297" s="26"/>
      <c r="O297" s="86"/>
      <c r="P297" s="86"/>
      <c r="Q297" s="86"/>
      <c r="R297" s="86"/>
      <c r="S297" s="86"/>
      <c r="T297" s="86"/>
      <c r="U297" s="86"/>
    </row>
    <row r="298" spans="2:21" ht="15">
      <c r="B298" s="96"/>
      <c r="C298" s="80"/>
      <c r="D298" s="57" t="s">
        <v>266</v>
      </c>
      <c r="E298" s="26"/>
      <c r="F298" s="26"/>
      <c r="G298" s="26"/>
      <c r="H298" s="26"/>
      <c r="I298" s="26"/>
      <c r="J298" s="26"/>
      <c r="K298" s="26"/>
      <c r="L298" s="26"/>
      <c r="O298" s="86"/>
      <c r="P298" s="86"/>
      <c r="Q298" s="86"/>
      <c r="R298" s="86"/>
      <c r="S298" s="86"/>
      <c r="T298" s="86"/>
      <c r="U298" s="86"/>
    </row>
    <row r="299" spans="2:21" ht="15">
      <c r="B299" s="96"/>
      <c r="C299" s="80"/>
      <c r="D299" s="139"/>
      <c r="E299" s="26"/>
      <c r="F299" s="26"/>
      <c r="G299" s="26"/>
      <c r="H299" s="26"/>
      <c r="I299" s="26"/>
      <c r="J299" s="26"/>
      <c r="K299" s="26"/>
      <c r="L299" s="57"/>
      <c r="O299" s="86"/>
      <c r="P299" s="86"/>
      <c r="Q299" s="86"/>
      <c r="R299" s="86"/>
      <c r="S299" s="86"/>
      <c r="T299" s="86"/>
      <c r="U299" s="86"/>
    </row>
    <row r="300" spans="2:21" ht="15" customHeight="1">
      <c r="B300" s="96" t="s">
        <v>588</v>
      </c>
      <c r="C300" s="80"/>
      <c r="D300" s="1183" t="s">
        <v>68</v>
      </c>
      <c r="E300" s="1184"/>
      <c r="F300" s="1184"/>
      <c r="G300" s="1184"/>
      <c r="H300" s="1184"/>
      <c r="I300" s="1184"/>
      <c r="J300" s="1184"/>
      <c r="K300" s="1184"/>
      <c r="L300" s="57"/>
      <c r="O300" s="86"/>
      <c r="P300" s="86"/>
      <c r="Q300" s="86"/>
      <c r="R300" s="86"/>
      <c r="S300" s="86"/>
      <c r="T300" s="86"/>
      <c r="U300" s="86"/>
    </row>
    <row r="301" spans="2:21" ht="15">
      <c r="B301" s="96"/>
      <c r="C301" s="80"/>
      <c r="D301" s="1184"/>
      <c r="E301" s="1184"/>
      <c r="F301" s="1184"/>
      <c r="G301" s="1184"/>
      <c r="H301" s="1184"/>
      <c r="I301" s="1184"/>
      <c r="J301" s="1184"/>
      <c r="K301" s="1184"/>
      <c r="L301" s="57"/>
      <c r="O301" s="86"/>
      <c r="P301" s="86"/>
      <c r="Q301" s="86"/>
      <c r="R301" s="86"/>
      <c r="S301" s="86"/>
      <c r="T301" s="86"/>
      <c r="U301" s="86"/>
    </row>
    <row r="302" spans="5:21" ht="15">
      <c r="E302" s="26"/>
      <c r="F302" s="26"/>
      <c r="G302" s="26"/>
      <c r="H302" s="26"/>
      <c r="I302" s="26"/>
      <c r="J302" s="26"/>
      <c r="K302" s="26"/>
      <c r="L302" s="26"/>
      <c r="O302" s="86"/>
      <c r="P302" s="86"/>
      <c r="Q302" s="86"/>
      <c r="R302" s="86"/>
      <c r="S302" s="86"/>
      <c r="T302" s="86"/>
      <c r="U302" s="86"/>
    </row>
    <row r="303" spans="2:21" ht="15">
      <c r="B303" s="96" t="s">
        <v>589</v>
      </c>
      <c r="C303" s="80"/>
      <c r="D303" s="7" t="str">
        <f>"Transmission Plant balances in this study reflect the average of the balances at December 31, "&amp;'Historic TCOS'!O2-2&amp;" and December 31, "&amp;'Historic TCOS'!O1&amp;"."</f>
        <v>Transmission Plant balances in this study reflect the average of the balances at December 31, 2013 and December 31, 2014.</v>
      </c>
      <c r="E303" s="26"/>
      <c r="F303" s="26"/>
      <c r="G303" s="26"/>
      <c r="H303" s="26"/>
      <c r="I303" s="26"/>
      <c r="J303" s="26"/>
      <c r="K303" s="26"/>
      <c r="L303" s="26"/>
      <c r="O303" s="86"/>
      <c r="P303" s="86"/>
      <c r="Q303" s="86"/>
      <c r="R303" s="86"/>
      <c r="S303" s="86"/>
      <c r="T303" s="86"/>
      <c r="U303" s="86"/>
    </row>
    <row r="304" spans="2:21" ht="15">
      <c r="B304" s="96"/>
      <c r="C304" s="80"/>
      <c r="D304" s="7"/>
      <c r="E304" s="26"/>
      <c r="F304" s="26"/>
      <c r="G304" s="26"/>
      <c r="H304" s="26"/>
      <c r="I304" s="26"/>
      <c r="J304" s="26"/>
      <c r="K304" s="26"/>
      <c r="L304" s="26"/>
      <c r="O304" s="86"/>
      <c r="P304" s="86"/>
      <c r="Q304" s="86"/>
      <c r="R304" s="86"/>
      <c r="S304" s="86"/>
      <c r="T304" s="86"/>
      <c r="U304" s="86"/>
    </row>
    <row r="305" spans="2:21" ht="15">
      <c r="B305" s="96" t="s">
        <v>590</v>
      </c>
      <c r="C305" s="80"/>
      <c r="D305" s="57" t="s">
        <v>840</v>
      </c>
      <c r="E305" s="26"/>
      <c r="F305" s="26"/>
      <c r="G305" s="26"/>
      <c r="H305" s="26"/>
      <c r="I305" s="26"/>
      <c r="J305" s="26"/>
      <c r="K305" s="26"/>
      <c r="L305" s="26"/>
      <c r="O305" s="86"/>
      <c r="P305" s="57"/>
      <c r="Q305" s="57"/>
      <c r="R305" s="86"/>
      <c r="S305" s="86"/>
      <c r="T305" s="86"/>
      <c r="U305" s="86"/>
    </row>
    <row r="306" spans="2:21" ht="15">
      <c r="B306" s="96"/>
      <c r="C306" s="80"/>
      <c r="D306" s="57" t="s">
        <v>275</v>
      </c>
      <c r="E306" s="26"/>
      <c r="F306" s="26"/>
      <c r="G306" s="26"/>
      <c r="H306" s="26"/>
      <c r="I306" s="26"/>
      <c r="J306" s="26"/>
      <c r="K306" s="26"/>
      <c r="L306" s="26"/>
      <c r="O306" s="86"/>
      <c r="P306" s="57"/>
      <c r="Q306" s="57"/>
      <c r="R306" s="86"/>
      <c r="S306" s="86"/>
      <c r="T306" s="86"/>
      <c r="U306" s="86"/>
    </row>
    <row r="307" spans="2:21" ht="15">
      <c r="B307" s="96"/>
      <c r="C307" s="80"/>
      <c r="D307" s="57" t="s">
        <v>285</v>
      </c>
      <c r="E307" s="26"/>
      <c r="F307" s="26"/>
      <c r="G307" s="26"/>
      <c r="H307" s="26"/>
      <c r="I307" s="26"/>
      <c r="J307" s="26"/>
      <c r="K307" s="26"/>
      <c r="L307" s="71"/>
      <c r="O307" s="86"/>
      <c r="P307" s="57"/>
      <c r="Q307" s="57"/>
      <c r="R307" s="86"/>
      <c r="S307" s="86"/>
      <c r="T307" s="86"/>
      <c r="U307" s="86"/>
    </row>
    <row r="308" spans="2:21" ht="15">
      <c r="B308" s="96"/>
      <c r="C308" s="80"/>
      <c r="D308" s="57" t="s">
        <v>1008</v>
      </c>
      <c r="E308" s="26"/>
      <c r="F308" s="26"/>
      <c r="G308" s="26"/>
      <c r="H308" s="26"/>
      <c r="I308" s="26"/>
      <c r="J308" s="26"/>
      <c r="K308" s="26"/>
      <c r="L308" s="71"/>
      <c r="O308" s="86"/>
      <c r="P308" s="57"/>
      <c r="Q308" s="86"/>
      <c r="R308" s="86"/>
      <c r="S308" s="86"/>
      <c r="T308" s="86"/>
      <c r="U308" s="86"/>
    </row>
    <row r="309" spans="2:21" ht="15">
      <c r="B309" s="96"/>
      <c r="C309" s="80"/>
      <c r="D309" s="57" t="s">
        <v>928</v>
      </c>
      <c r="E309" s="26"/>
      <c r="F309" s="26"/>
      <c r="G309" s="26"/>
      <c r="H309" s="26"/>
      <c r="I309" s="26"/>
      <c r="J309" s="26"/>
      <c r="K309" s="26"/>
      <c r="L309" s="71"/>
      <c r="O309" s="86"/>
      <c r="P309" s="57"/>
      <c r="Q309" s="86"/>
      <c r="R309" s="86"/>
      <c r="S309" s="86"/>
      <c r="T309" s="86"/>
      <c r="U309" s="86"/>
    </row>
    <row r="310" spans="2:21" ht="15">
      <c r="B310" s="96"/>
      <c r="C310" s="80"/>
      <c r="D310" s="57"/>
      <c r="E310" s="26"/>
      <c r="F310" s="26"/>
      <c r="G310" s="26"/>
      <c r="H310" s="26"/>
      <c r="I310" s="26"/>
      <c r="J310" s="26"/>
      <c r="K310" s="26"/>
      <c r="L310" s="71"/>
      <c r="O310" s="86"/>
      <c r="P310" s="57"/>
      <c r="Q310" s="86"/>
      <c r="R310" s="86"/>
      <c r="S310" s="86"/>
      <c r="T310" s="86"/>
      <c r="U310" s="86"/>
    </row>
    <row r="311" spans="2:21" ht="15">
      <c r="B311" s="96" t="s">
        <v>591</v>
      </c>
      <c r="C311" s="80"/>
      <c r="D31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311"/>
      <c r="F311"/>
      <c r="G311"/>
      <c r="H311"/>
      <c r="I311"/>
      <c r="J311"/>
      <c r="K311"/>
      <c r="L311"/>
      <c r="O311" s="86"/>
      <c r="P311" s="86"/>
      <c r="Q311" s="86"/>
      <c r="R311" s="86"/>
      <c r="S311" s="86"/>
      <c r="T311" s="86"/>
      <c r="U311" s="86"/>
    </row>
    <row r="312" spans="2:21" ht="15">
      <c r="B312" s="96"/>
      <c r="C312" s="80"/>
      <c r="D312" s="57"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312"/>
      <c r="F312"/>
      <c r="G312"/>
      <c r="H312"/>
      <c r="I312"/>
      <c r="J312"/>
      <c r="K312"/>
      <c r="L312"/>
      <c r="O312" s="86"/>
      <c r="P312" s="86"/>
      <c r="Q312" s="86"/>
      <c r="R312" s="86"/>
      <c r="S312" s="86"/>
      <c r="T312" s="86"/>
      <c r="U312" s="86"/>
    </row>
    <row r="313" spans="2:21" ht="15">
      <c r="B313" s="96"/>
      <c r="C313" s="80"/>
      <c r="D313" s="57" t="str">
        <f>+"2)  AEP transmission equalization transfers, as shown on line "&amp;B150&amp;""</f>
        <v>2)  AEP transmission equalization transfers, as shown on line 86</v>
      </c>
      <c r="E313" s="798"/>
      <c r="F313" s="798"/>
      <c r="G313" s="798"/>
      <c r="H313" s="798"/>
      <c r="I313" s="798"/>
      <c r="J313" s="798"/>
      <c r="K313" s="798"/>
      <c r="L313" s="798"/>
      <c r="O313" s="86"/>
      <c r="P313" s="86"/>
      <c r="Q313" s="86"/>
      <c r="R313" s="86"/>
      <c r="S313" s="86"/>
      <c r="T313" s="86"/>
      <c r="U313" s="86"/>
    </row>
    <row r="314" spans="2:21" ht="15">
      <c r="B314" s="96"/>
      <c r="C314" s="80"/>
      <c r="D314" s="57" t="str">
        <f>+"3)  The impact of state regulatory deferrals and amortizations, as shown on line  "&amp;B151&amp;""</f>
        <v>3)  The impact of state regulatory deferrals and amortizations, as shown on line  87</v>
      </c>
      <c r="E314" s="798"/>
      <c r="F314" s="798"/>
      <c r="G314" s="798"/>
      <c r="H314" s="798"/>
      <c r="I314" s="798"/>
      <c r="J314" s="798"/>
      <c r="K314" s="798"/>
      <c r="L314" s="798"/>
      <c r="O314" s="86"/>
      <c r="P314" s="86"/>
      <c r="Q314" s="86"/>
      <c r="R314" s="86"/>
      <c r="S314" s="86"/>
      <c r="T314" s="86"/>
      <c r="U314" s="86"/>
    </row>
    <row r="315" spans="2:21" ht="15">
      <c r="B315" s="96"/>
      <c r="C315" s="80"/>
      <c r="D315" s="57" t="str">
        <f>"4) All A&amp;G Expenses, as shown on line "&amp;B165&amp;"."</f>
        <v>4) All A&amp;G Expenses, as shown on line 100.</v>
      </c>
      <c r="E315" s="798"/>
      <c r="F315" s="798"/>
      <c r="G315" s="798"/>
      <c r="H315" s="798"/>
      <c r="I315" s="798"/>
      <c r="J315" s="798"/>
      <c r="K315" s="798"/>
      <c r="L315" s="798"/>
      <c r="O315" s="86"/>
      <c r="P315" s="86"/>
      <c r="Q315" s="86"/>
      <c r="R315" s="86"/>
      <c r="S315" s="86"/>
      <c r="T315" s="86"/>
      <c r="U315" s="86"/>
    </row>
    <row r="316" spans="2:21" ht="15">
      <c r="B316" s="96"/>
      <c r="C316" s="80"/>
      <c r="D316" s="57"/>
      <c r="E316" s="26"/>
      <c r="F316" s="26"/>
      <c r="G316" s="26"/>
      <c r="H316" s="26"/>
      <c r="I316" s="26"/>
      <c r="J316" s="26"/>
      <c r="K316" s="26"/>
      <c r="L316" s="26"/>
      <c r="O316" s="86"/>
      <c r="P316" s="86"/>
      <c r="Q316" s="86"/>
      <c r="R316" s="86"/>
      <c r="S316" s="86"/>
      <c r="T316" s="86"/>
      <c r="U316" s="86"/>
    </row>
    <row r="317" spans="2:21" ht="15">
      <c r="B317" s="98" t="s">
        <v>592</v>
      </c>
      <c r="C317" s="85"/>
      <c r="D317" s="15"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317" s="15"/>
      <c r="F317" s="15"/>
      <c r="G317" s="15"/>
      <c r="H317" s="15"/>
      <c r="I317" s="15"/>
      <c r="J317" s="15"/>
      <c r="K317" s="15"/>
      <c r="L317" s="15"/>
      <c r="O317" s="86"/>
      <c r="P317" s="86"/>
      <c r="Q317" s="86"/>
      <c r="R317" s="86"/>
      <c r="S317" s="86"/>
      <c r="T317" s="86"/>
      <c r="U317" s="86"/>
    </row>
    <row r="318" spans="2:21" ht="15">
      <c r="B318" s="99"/>
      <c r="C318" s="15"/>
      <c r="D318" s="15" t="s">
        <v>693</v>
      </c>
      <c r="E318" s="15"/>
      <c r="F318" s="15"/>
      <c r="G318" s="15"/>
      <c r="H318" s="15"/>
      <c r="I318" s="15"/>
      <c r="J318" s="15"/>
      <c r="K318" s="15"/>
      <c r="L318" s="15"/>
      <c r="O318" s="86"/>
      <c r="P318" s="86"/>
      <c r="Q318" s="86"/>
      <c r="R318" s="86"/>
      <c r="S318" s="86"/>
      <c r="T318" s="86"/>
      <c r="U318" s="86"/>
    </row>
    <row r="319" spans="2:21" ht="15">
      <c r="B319" s="99"/>
      <c r="C319" s="15"/>
      <c r="D319" s="15" t="str">
        <f>"expense is included on line "&amp;B205&amp;"."</f>
        <v>expense is included on line 133.</v>
      </c>
      <c r="E319" s="15"/>
      <c r="F319" s="15"/>
      <c r="G319" s="15"/>
      <c r="H319" s="15"/>
      <c r="I319" s="15"/>
      <c r="J319" s="15"/>
      <c r="K319" s="15"/>
      <c r="L319" s="15"/>
      <c r="O319" s="86"/>
      <c r="P319" s="86"/>
      <c r="Q319" s="86"/>
      <c r="R319" s="86"/>
      <c r="S319" s="86"/>
      <c r="T319" s="86"/>
      <c r="U319" s="86"/>
    </row>
    <row r="320" spans="2:21" ht="15">
      <c r="B320" s="99"/>
      <c r="C320" s="15"/>
      <c r="D320" s="15"/>
      <c r="E320" s="15"/>
      <c r="F320" s="15"/>
      <c r="G320" s="15"/>
      <c r="H320" s="15"/>
      <c r="I320" s="15"/>
      <c r="J320" s="15"/>
      <c r="K320" s="15"/>
      <c r="L320" s="15"/>
      <c r="O320" s="86"/>
      <c r="P320" s="86"/>
      <c r="Q320" s="86"/>
      <c r="R320" s="86"/>
      <c r="S320" s="86"/>
      <c r="T320" s="86"/>
      <c r="U320" s="86"/>
    </row>
    <row r="321" spans="2:21" ht="15">
      <c r="B321" s="98" t="s">
        <v>593</v>
      </c>
      <c r="C321" s="15"/>
      <c r="D321" s="1202"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21" s="1202"/>
      <c r="F321" s="1202"/>
      <c r="G321" s="1202"/>
      <c r="H321" s="1202"/>
      <c r="I321" s="1202"/>
      <c r="J321" s="1202"/>
      <c r="K321" s="1202"/>
      <c r="L321" s="15"/>
      <c r="O321" s="86"/>
      <c r="P321" s="86"/>
      <c r="Q321" s="86"/>
      <c r="R321" s="86"/>
      <c r="S321" s="86"/>
      <c r="T321" s="86"/>
      <c r="U321" s="86"/>
    </row>
    <row r="322" spans="2:21" ht="15">
      <c r="B322" s="98"/>
      <c r="C322" s="15"/>
      <c r="D322" s="1202"/>
      <c r="E322" s="1202"/>
      <c r="F322" s="1202"/>
      <c r="G322" s="1202"/>
      <c r="H322" s="1202"/>
      <c r="I322" s="1202"/>
      <c r="J322" s="1202"/>
      <c r="K322" s="1202"/>
      <c r="L322" s="15"/>
      <c r="O322" s="86"/>
      <c r="P322" s="86"/>
      <c r="Q322" s="86"/>
      <c r="R322" s="86"/>
      <c r="S322" s="86"/>
      <c r="T322" s="86"/>
      <c r="U322" s="86"/>
    </row>
    <row r="323" spans="2:21" ht="15">
      <c r="B323" s="98"/>
      <c r="C323" s="15"/>
      <c r="D323" s="1202"/>
      <c r="E323" s="1202"/>
      <c r="F323" s="1202"/>
      <c r="G323" s="1202"/>
      <c r="H323" s="1202"/>
      <c r="I323" s="1202"/>
      <c r="J323" s="1202"/>
      <c r="K323" s="1202"/>
      <c r="L323" s="15"/>
      <c r="O323" s="86"/>
      <c r="P323" s="86"/>
      <c r="Q323" s="86"/>
      <c r="R323" s="86"/>
      <c r="S323" s="86"/>
      <c r="T323" s="86"/>
      <c r="U323" s="86"/>
    </row>
    <row r="324" spans="2:21" ht="15">
      <c r="B324" s="98"/>
      <c r="C324" s="15"/>
      <c r="D324" s="57"/>
      <c r="E324" s="15"/>
      <c r="F324" s="15"/>
      <c r="G324" s="15"/>
      <c r="H324" s="15"/>
      <c r="I324" s="15"/>
      <c r="J324" s="15"/>
      <c r="K324" s="15"/>
      <c r="L324" s="15"/>
      <c r="O324" s="86"/>
      <c r="P324" s="86"/>
      <c r="Q324" s="86"/>
      <c r="R324" s="86"/>
      <c r="S324" s="86"/>
      <c r="T324" s="86"/>
      <c r="U324" s="86"/>
    </row>
    <row r="325" spans="2:21" ht="15">
      <c r="B325" s="98" t="s">
        <v>594</v>
      </c>
      <c r="C325" s="15"/>
      <c r="D325" s="1171"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"&amp;B168&amp;" and "&amp;B169&amp;" to determine the total O&amp;M collected in the formula.  The amounts on lines "&amp;B168&amp;" and "&amp;B169&amp;"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102 and 103 to determine the total O&amp;M collected in the formula.  The amounts on lines 102 and 103 are also excluded in the calculation of the FCR percentage calculated on lines 5 through 11.</v>
      </c>
      <c r="E325" s="1171"/>
      <c r="F325" s="1171"/>
      <c r="G325" s="1171"/>
      <c r="H325" s="1171"/>
      <c r="I325" s="1171"/>
      <c r="J325" s="1171"/>
      <c r="K325" s="1171"/>
      <c r="L325" s="15"/>
      <c r="O325" s="86"/>
      <c r="P325" s="86"/>
      <c r="Q325" s="86"/>
      <c r="R325" s="86"/>
      <c r="S325" s="86"/>
      <c r="T325" s="86"/>
      <c r="U325" s="86"/>
    </row>
    <row r="326" spans="2:21" ht="15">
      <c r="B326" s="98"/>
      <c r="C326" s="15"/>
      <c r="D326" s="1171"/>
      <c r="E326" s="1171"/>
      <c r="F326" s="1171"/>
      <c r="G326" s="1171"/>
      <c r="H326" s="1171"/>
      <c r="I326" s="1171"/>
      <c r="J326" s="1171"/>
      <c r="K326" s="1171"/>
      <c r="L326" s="15"/>
      <c r="O326" s="86"/>
      <c r="P326" s="86"/>
      <c r="Q326" s="86"/>
      <c r="R326" s="86"/>
      <c r="S326" s="86"/>
      <c r="T326" s="86"/>
      <c r="U326" s="86"/>
    </row>
    <row r="327" spans="2:21" ht="15">
      <c r="B327" s="98"/>
      <c r="C327" s="15"/>
      <c r="D327" s="1200"/>
      <c r="E327" s="1200"/>
      <c r="F327" s="1200"/>
      <c r="G327" s="1200"/>
      <c r="H327" s="1200"/>
      <c r="I327" s="1200"/>
      <c r="J327" s="1200"/>
      <c r="K327" s="1200"/>
      <c r="L327" s="15"/>
      <c r="O327" s="86"/>
      <c r="P327" s="86"/>
      <c r="Q327" s="86"/>
      <c r="R327" s="86"/>
      <c r="S327" s="86"/>
      <c r="T327" s="86"/>
      <c r="U327" s="86"/>
    </row>
    <row r="328" spans="2:21" ht="15">
      <c r="B328" s="98"/>
      <c r="C328" s="15"/>
      <c r="D328" s="1201" t="str">
        <f>"The addbacks  on lines "&amp;B168&amp;" and "&amp;B169&amp;" of activity recorded in 565 represents inter-company sales or purchases of transmission capacity necessary to meet each AEP company's transmission load relative to their available transmission capacity."</f>
        <v>The addbacks  on lines 102 and 103 of activity recorded in 565 represents inter-company sales or purchases of transmission capacity necessary to meet each AEP company's transmission load relative to their available transmission capacity.</v>
      </c>
      <c r="E328" s="1201"/>
      <c r="F328" s="1201"/>
      <c r="G328" s="1201"/>
      <c r="H328" s="1201"/>
      <c r="I328" s="1201"/>
      <c r="J328" s="1201"/>
      <c r="K328" s="819"/>
      <c r="L328" s="15"/>
      <c r="O328" s="86"/>
      <c r="P328" s="86"/>
      <c r="Q328" s="86"/>
      <c r="R328" s="86"/>
      <c r="S328" s="86"/>
      <c r="T328" s="86"/>
      <c r="U328" s="86"/>
    </row>
    <row r="329" spans="2:21" ht="15">
      <c r="B329" s="98"/>
      <c r="C329" s="15"/>
      <c r="D329" s="1201"/>
      <c r="E329" s="1201"/>
      <c r="F329" s="1201"/>
      <c r="G329" s="1201"/>
      <c r="H329" s="1201"/>
      <c r="I329" s="1201"/>
      <c r="J329" s="1201"/>
      <c r="K329" s="819"/>
      <c r="L329" s="15"/>
      <c r="O329" s="86"/>
      <c r="P329" s="86"/>
      <c r="Q329" s="86"/>
      <c r="R329" s="86"/>
      <c r="S329" s="86"/>
      <c r="T329" s="86"/>
      <c r="U329" s="86"/>
    </row>
    <row r="330" spans="2:21" ht="15">
      <c r="B330" s="98"/>
      <c r="C330" s="15"/>
      <c r="D330" s="15" t="str">
        <f>"The company records referenced on lines "&amp;B168&amp;" and "&amp;B169&amp;" is the "&amp;F7&amp;" general ledger."</f>
        <v>The company records referenced on lines 102 and 103 is the AEP KENTUCKY TRANSMISSION COMPANY general ledger.</v>
      </c>
      <c r="E330" s="580"/>
      <c r="F330" s="580"/>
      <c r="G330" s="580"/>
      <c r="H330" s="580"/>
      <c r="I330" s="580"/>
      <c r="J330" s="580"/>
      <c r="K330" s="819"/>
      <c r="L330" s="15"/>
      <c r="O330" s="86"/>
      <c r="P330" s="86"/>
      <c r="Q330" s="86"/>
      <c r="R330" s="86"/>
      <c r="S330" s="86"/>
      <c r="T330" s="86"/>
      <c r="U330" s="86"/>
    </row>
    <row r="331" spans="2:21" ht="15">
      <c r="B331" s="98"/>
      <c r="C331" s="15"/>
      <c r="D331" s="580"/>
      <c r="E331" s="580"/>
      <c r="F331" s="580"/>
      <c r="G331" s="580"/>
      <c r="H331" s="580"/>
      <c r="I331" s="580"/>
      <c r="J331" s="580"/>
      <c r="K331" s="580"/>
      <c r="L331" s="15"/>
      <c r="O331" s="86"/>
      <c r="P331" s="86"/>
      <c r="Q331" s="86"/>
      <c r="R331" s="86"/>
      <c r="S331" s="86"/>
      <c r="T331" s="86"/>
      <c r="U331" s="86"/>
    </row>
    <row r="332" spans="2:21" ht="15">
      <c r="B332" s="98" t="s">
        <v>595</v>
      </c>
      <c r="C332" s="15"/>
      <c r="D332" s="15" t="s">
        <v>825</v>
      </c>
      <c r="E332" s="15"/>
      <c r="F332" s="15"/>
      <c r="G332" s="15"/>
      <c r="H332" s="15"/>
      <c r="I332" s="15"/>
      <c r="J332" s="15"/>
      <c r="K332" s="15"/>
      <c r="L332" s="15"/>
      <c r="O332" s="86"/>
      <c r="P332" s="86"/>
      <c r="Q332" s="86"/>
      <c r="R332" s="86"/>
      <c r="S332" s="86"/>
      <c r="T332" s="86"/>
      <c r="U332" s="86"/>
    </row>
    <row r="333" spans="2:21" ht="15">
      <c r="B333" s="98"/>
      <c r="C333" s="15"/>
      <c r="D333" s="846"/>
      <c r="E333" s="846"/>
      <c r="F333" s="846"/>
      <c r="G333" s="846"/>
      <c r="H333" s="846"/>
      <c r="I333" s="846"/>
      <c r="J333" s="846"/>
      <c r="K333" s="15"/>
      <c r="L333" s="15"/>
      <c r="O333" s="86"/>
      <c r="P333" s="86"/>
      <c r="Q333" s="86"/>
      <c r="R333" s="86"/>
      <c r="S333" s="86"/>
      <c r="T333" s="86"/>
      <c r="U333" s="86"/>
    </row>
    <row r="334" spans="2:21" ht="15" customHeight="1">
      <c r="B334" s="98" t="s">
        <v>596</v>
      </c>
      <c r="C334" s="15"/>
      <c r="D334" s="1201" t="s">
        <v>820</v>
      </c>
      <c r="E334" s="1184"/>
      <c r="F334" s="1184"/>
      <c r="G334" s="1184"/>
      <c r="H334" s="1184"/>
      <c r="I334" s="1184"/>
      <c r="J334" s="1184"/>
      <c r="K334" s="1043"/>
      <c r="L334" s="15"/>
      <c r="O334" s="86"/>
      <c r="P334" s="86"/>
      <c r="Q334" s="86"/>
      <c r="R334" s="86"/>
      <c r="S334" s="86"/>
      <c r="T334" s="86"/>
      <c r="U334" s="86"/>
    </row>
    <row r="335" spans="2:21" ht="15">
      <c r="B335" s="98"/>
      <c r="C335" s="15"/>
      <c r="D335" s="1190"/>
      <c r="E335" s="1190"/>
      <c r="F335" s="1190"/>
      <c r="G335" s="1190"/>
      <c r="H335" s="1190"/>
      <c r="I335" s="1190"/>
      <c r="J335" s="1190"/>
      <c r="K335" s="1034"/>
      <c r="L335" s="15"/>
      <c r="O335" s="86"/>
      <c r="P335" s="86"/>
      <c r="Q335" s="86"/>
      <c r="R335" s="86"/>
      <c r="S335" s="86"/>
      <c r="T335" s="86"/>
      <c r="U335" s="86"/>
    </row>
    <row r="336" spans="2:21" ht="15">
      <c r="B336" s="98"/>
      <c r="C336" s="15"/>
      <c r="D336" s="1184"/>
      <c r="E336" s="1184"/>
      <c r="F336" s="1184"/>
      <c r="G336" s="1184"/>
      <c r="H336" s="1184"/>
      <c r="I336" s="1184"/>
      <c r="J336" s="1184"/>
      <c r="K336" s="1043"/>
      <c r="L336" s="15"/>
      <c r="O336" s="86"/>
      <c r="P336" s="86"/>
      <c r="Q336" s="86"/>
      <c r="R336" s="86"/>
      <c r="S336" s="86"/>
      <c r="T336" s="86"/>
      <c r="U336" s="86"/>
    </row>
    <row r="337" spans="2:21" ht="15">
      <c r="B337" s="98"/>
      <c r="C337" s="15"/>
      <c r="D337" s="15"/>
      <c r="E337" s="15"/>
      <c r="F337" s="15"/>
      <c r="G337" s="15"/>
      <c r="H337" s="15"/>
      <c r="I337" s="15"/>
      <c r="J337" s="15"/>
      <c r="K337" s="15"/>
      <c r="L337" s="15"/>
      <c r="O337" s="86"/>
      <c r="P337" s="86"/>
      <c r="Q337" s="86"/>
      <c r="R337" s="86"/>
      <c r="S337" s="86"/>
      <c r="T337" s="86"/>
      <c r="U337" s="86"/>
    </row>
    <row r="338" spans="2:21" ht="15" customHeight="1">
      <c r="B338" s="96" t="s">
        <v>597</v>
      </c>
      <c r="C338" s="15"/>
      <c r="D338" s="1188" t="s">
        <v>104</v>
      </c>
      <c r="E338" s="1189"/>
      <c r="F338" s="1189"/>
      <c r="G338" s="1189"/>
      <c r="H338" s="1189"/>
      <c r="I338" s="1189"/>
      <c r="J338" s="1189"/>
      <c r="K338" s="1189"/>
      <c r="L338" s="15"/>
      <c r="O338" s="86"/>
      <c r="P338" s="86"/>
      <c r="Q338" s="86"/>
      <c r="R338" s="86"/>
      <c r="S338" s="86"/>
      <c r="T338" s="86"/>
      <c r="U338" s="86"/>
    </row>
    <row r="339" spans="2:21" ht="15">
      <c r="B339" s="98"/>
      <c r="C339" s="15"/>
      <c r="D339" s="15"/>
      <c r="E339" s="15"/>
      <c r="F339" s="15"/>
      <c r="G339" s="15"/>
      <c r="H339" s="15"/>
      <c r="I339" s="15"/>
      <c r="J339" s="15"/>
      <c r="K339" s="15"/>
      <c r="L339" s="15"/>
      <c r="O339" s="86"/>
      <c r="P339" s="86"/>
      <c r="Q339" s="86"/>
      <c r="R339" s="86"/>
      <c r="S339" s="86"/>
      <c r="T339" s="86"/>
      <c r="U339" s="86"/>
    </row>
    <row r="340" spans="2:21" ht="15">
      <c r="B340" s="96" t="s">
        <v>598</v>
      </c>
      <c r="C340" s="80"/>
      <c r="D340" s="57" t="s">
        <v>1001</v>
      </c>
      <c r="E340" s="26"/>
      <c r="F340" s="26"/>
      <c r="G340" s="26"/>
      <c r="H340" s="26"/>
      <c r="I340" s="26"/>
      <c r="J340" s="26"/>
      <c r="K340" s="26"/>
      <c r="L340" s="26"/>
      <c r="O340" s="86"/>
      <c r="P340" s="86"/>
      <c r="Q340" s="86"/>
      <c r="R340" s="86"/>
      <c r="S340" s="86"/>
      <c r="T340" s="86"/>
      <c r="U340" s="86"/>
    </row>
    <row r="341" spans="2:21" ht="15">
      <c r="B341" s="96"/>
      <c r="C341" s="80"/>
      <c r="D341" s="57" t="s">
        <v>261</v>
      </c>
      <c r="E341" s="26"/>
      <c r="F341" s="26"/>
      <c r="G341" s="26"/>
      <c r="H341" s="26"/>
      <c r="I341" s="26"/>
      <c r="J341" s="26"/>
      <c r="K341" s="26"/>
      <c r="L341" s="26"/>
      <c r="O341" s="86"/>
      <c r="P341" s="86"/>
      <c r="Q341" s="86"/>
      <c r="R341" s="86"/>
      <c r="S341" s="86"/>
      <c r="T341" s="86"/>
      <c r="U341" s="86"/>
    </row>
    <row r="342" spans="2:21" ht="15">
      <c r="B342" s="96"/>
      <c r="C342" s="80"/>
      <c r="D342" s="57" t="s">
        <v>262</v>
      </c>
      <c r="E342" s="26"/>
      <c r="F342" s="26"/>
      <c r="G342" s="26"/>
      <c r="H342" s="26"/>
      <c r="I342" s="26"/>
      <c r="J342" s="26"/>
      <c r="K342" s="26"/>
      <c r="L342" s="26"/>
      <c r="O342" s="86"/>
      <c r="P342" s="86"/>
      <c r="Q342" s="86"/>
      <c r="R342" s="86"/>
      <c r="S342" s="86"/>
      <c r="T342" s="86"/>
      <c r="U342" s="86"/>
    </row>
    <row r="343" spans="2:21" ht="15">
      <c r="B343" s="96"/>
      <c r="C343" s="80"/>
      <c r="D343" s="15" t="s">
        <v>263</v>
      </c>
      <c r="E343" s="26"/>
      <c r="F343" s="26"/>
      <c r="G343" s="26"/>
      <c r="H343" s="26"/>
      <c r="I343" s="26"/>
      <c r="J343" s="26"/>
      <c r="K343" s="26"/>
      <c r="L343" s="26"/>
      <c r="O343" s="86"/>
      <c r="P343" s="86"/>
      <c r="Q343" s="86"/>
      <c r="R343" s="86"/>
      <c r="S343" s="86"/>
      <c r="T343" s="86"/>
      <c r="U343" s="86"/>
    </row>
    <row r="344" spans="2:21" ht="15">
      <c r="B344" s="96"/>
      <c r="C344" s="80"/>
      <c r="D344" s="15"/>
      <c r="E344" s="26"/>
      <c r="F344" s="26"/>
      <c r="G344" s="26"/>
      <c r="H344" s="26"/>
      <c r="I344" s="26"/>
      <c r="J344" s="26"/>
      <c r="K344" s="26"/>
      <c r="L344" s="26"/>
      <c r="O344" s="86"/>
      <c r="P344" s="86"/>
      <c r="Q344" s="86"/>
      <c r="R344" s="86"/>
      <c r="S344" s="86"/>
      <c r="T344" s="86"/>
      <c r="U344" s="86"/>
    </row>
    <row r="345" spans="2:21" ht="15" customHeight="1">
      <c r="B345" s="96" t="s">
        <v>599</v>
      </c>
      <c r="C345" s="80"/>
      <c r="D345" s="1171" t="s">
        <v>179</v>
      </c>
      <c r="E345" s="1171"/>
      <c r="F345" s="1171"/>
      <c r="G345" s="1171"/>
      <c r="H345" s="1171"/>
      <c r="I345" s="1171"/>
      <c r="J345" s="1171"/>
      <c r="K345" s="1171"/>
      <c r="L345" s="1171"/>
      <c r="O345" s="86"/>
      <c r="P345" s="86"/>
      <c r="Q345" s="86"/>
      <c r="R345" s="86"/>
      <c r="S345" s="86"/>
      <c r="T345" s="86"/>
      <c r="U345" s="86"/>
    </row>
    <row r="346" spans="2:21" ht="15">
      <c r="B346" s="96"/>
      <c r="C346" s="80"/>
      <c r="D346" s="1171"/>
      <c r="E346" s="1171"/>
      <c r="F346" s="1171"/>
      <c r="G346" s="1171"/>
      <c r="H346" s="1171"/>
      <c r="I346" s="1171"/>
      <c r="J346" s="1171"/>
      <c r="K346" s="1171"/>
      <c r="L346" s="1171"/>
      <c r="O346" s="86"/>
      <c r="P346" s="86"/>
      <c r="Q346" s="86"/>
      <c r="R346" s="86"/>
      <c r="S346" s="86"/>
      <c r="T346" s="86"/>
      <c r="U346" s="86"/>
    </row>
    <row r="347" spans="2:21" ht="15">
      <c r="B347" s="96"/>
      <c r="C347" s="80"/>
      <c r="D347" s="1171"/>
      <c r="E347" s="1171"/>
      <c r="F347" s="1171"/>
      <c r="G347" s="1171"/>
      <c r="H347" s="1171"/>
      <c r="I347" s="1171"/>
      <c r="J347" s="1171"/>
      <c r="K347" s="1171"/>
      <c r="L347" s="1171"/>
      <c r="O347" s="86"/>
      <c r="P347" s="86"/>
      <c r="Q347" s="86"/>
      <c r="R347" s="86"/>
      <c r="S347" s="86"/>
      <c r="T347" s="86"/>
      <c r="U347" s="86"/>
    </row>
    <row r="348" spans="2:21" ht="15">
      <c r="B348" s="96"/>
      <c r="C348" s="80"/>
      <c r="D348" s="730"/>
      <c r="E348" s="26"/>
      <c r="F348" s="26"/>
      <c r="G348" s="26"/>
      <c r="H348" s="26"/>
      <c r="I348" s="26"/>
      <c r="J348" s="26"/>
      <c r="K348" s="26"/>
      <c r="L348" s="26"/>
      <c r="O348" s="86"/>
      <c r="P348" s="86"/>
      <c r="Q348" s="86"/>
      <c r="R348" s="86"/>
      <c r="S348" s="86"/>
      <c r="T348" s="86"/>
      <c r="U348" s="86"/>
    </row>
    <row r="349" spans="2:21" ht="15">
      <c r="B349" s="141" t="s">
        <v>841</v>
      </c>
      <c r="C349" s="80"/>
      <c r="D349" s="57" t="s">
        <v>1002</v>
      </c>
      <c r="E349" s="15"/>
      <c r="F349" s="15"/>
      <c r="G349" s="15"/>
      <c r="H349" s="15"/>
      <c r="I349" s="15"/>
      <c r="J349" s="15"/>
      <c r="K349" s="15"/>
      <c r="L349" s="15"/>
      <c r="O349" s="86"/>
      <c r="P349" s="86"/>
      <c r="Q349" s="86"/>
      <c r="R349" s="86"/>
      <c r="S349" s="86"/>
      <c r="T349" s="86"/>
      <c r="U349" s="86"/>
    </row>
    <row r="350" spans="2:21" ht="15">
      <c r="B350" s="141"/>
      <c r="C350" s="80"/>
      <c r="D350" s="57"/>
      <c r="E350" s="15"/>
      <c r="F350" s="15"/>
      <c r="G350" s="15"/>
      <c r="H350" s="15"/>
      <c r="I350" s="15"/>
      <c r="J350" s="15"/>
      <c r="K350" s="15"/>
      <c r="L350" s="15"/>
      <c r="O350" s="86"/>
      <c r="P350" s="86"/>
      <c r="Q350" s="86"/>
      <c r="R350" s="86"/>
      <c r="S350" s="86"/>
      <c r="T350" s="86"/>
      <c r="U350" s="86"/>
    </row>
    <row r="351" spans="2:21" ht="15">
      <c r="B351" s="96" t="s">
        <v>927</v>
      </c>
      <c r="C351" s="80"/>
      <c r="D351" s="57" t="s">
        <v>974</v>
      </c>
      <c r="H351" s="15"/>
      <c r="I351" s="15"/>
      <c r="J351" s="15"/>
      <c r="K351" s="15"/>
      <c r="L351" s="15"/>
      <c r="O351" s="86"/>
      <c r="P351" s="86"/>
      <c r="Q351" s="86"/>
      <c r="R351" s="86"/>
      <c r="S351" s="86"/>
      <c r="T351" s="86"/>
      <c r="U351" s="86"/>
    </row>
    <row r="352" spans="2:21" ht="15">
      <c r="B352" s="96"/>
      <c r="C352" s="80"/>
      <c r="D352" s="57" t="s">
        <v>826</v>
      </c>
      <c r="H352" s="15"/>
      <c r="I352" s="15"/>
      <c r="J352" s="15"/>
      <c r="K352" s="15"/>
      <c r="L352" s="15"/>
      <c r="O352" s="86"/>
      <c r="P352" s="86"/>
      <c r="Q352" s="86"/>
      <c r="R352" s="86"/>
      <c r="S352" s="86"/>
      <c r="T352" s="86"/>
      <c r="U352" s="86"/>
    </row>
    <row r="353" spans="2:21" ht="15">
      <c r="B353" s="96"/>
      <c r="C353" s="80"/>
      <c r="D353" s="57" t="s">
        <v>823</v>
      </c>
      <c r="H353" s="15"/>
      <c r="I353" s="15"/>
      <c r="J353" s="15"/>
      <c r="K353" s="15"/>
      <c r="L353" s="15"/>
      <c r="O353" s="86"/>
      <c r="P353" s="86"/>
      <c r="Q353" s="86"/>
      <c r="R353" s="86"/>
      <c r="S353" s="86"/>
      <c r="T353" s="86"/>
      <c r="U353" s="86"/>
    </row>
    <row r="354" spans="2:21" ht="15">
      <c r="B354" s="96"/>
      <c r="C354" s="80"/>
      <c r="D354" s="57" t="s">
        <v>824</v>
      </c>
      <c r="E354" s="86"/>
      <c r="F354" s="86"/>
      <c r="G354" s="86"/>
      <c r="H354" s="15"/>
      <c r="I354" s="15"/>
      <c r="J354" s="15"/>
      <c r="K354" s="15"/>
      <c r="L354" s="15"/>
      <c r="O354" s="86"/>
      <c r="P354" s="86"/>
      <c r="Q354" s="86"/>
      <c r="R354" s="86"/>
      <c r="S354" s="86"/>
      <c r="T354" s="86"/>
      <c r="U354" s="86"/>
    </row>
    <row r="355" spans="2:21" ht="15">
      <c r="B355" s="96"/>
      <c r="C355" s="80"/>
      <c r="D355" s="57" t="str">
        <f>"(ln "&amp;B197&amp;") multiplied by (1/1-T) .  If the applicable tax rates are zero enter 0."</f>
        <v>(ln 128) multiplied by (1/1-T) .  If the applicable tax rates are zero enter 0.</v>
      </c>
      <c r="E355" s="86"/>
      <c r="F355" s="86"/>
      <c r="G355" s="86"/>
      <c r="H355" s="15"/>
      <c r="I355" s="15"/>
      <c r="J355" s="15"/>
      <c r="K355" s="15"/>
      <c r="L355" s="15"/>
      <c r="O355" s="86"/>
      <c r="P355" s="86"/>
      <c r="Q355" s="86"/>
      <c r="R355" s="86"/>
      <c r="S355" s="86"/>
      <c r="T355" s="86"/>
      <c r="U355" s="86"/>
    </row>
    <row r="356" spans="2:21" ht="15">
      <c r="B356" s="5"/>
      <c r="C356" s="86"/>
      <c r="D356" s="57" t="s">
        <v>975</v>
      </c>
      <c r="E356" s="26" t="s">
        <v>976</v>
      </c>
      <c r="F356" s="90">
        <f>'Historic TCOS'!F352</f>
        <v>0.35</v>
      </c>
      <c r="G356" s="26"/>
      <c r="H356" s="15"/>
      <c r="I356" s="15"/>
      <c r="J356" s="15"/>
      <c r="K356" s="15"/>
      <c r="L356" s="15"/>
      <c r="O356" s="86"/>
      <c r="P356" s="86"/>
      <c r="Q356" s="86"/>
      <c r="R356" s="86"/>
      <c r="S356" s="86"/>
      <c r="T356" s="86"/>
      <c r="U356" s="86"/>
    </row>
    <row r="357" spans="2:21" ht="15">
      <c r="B357" s="5"/>
      <c r="C357" s="86"/>
      <c r="D357" s="57"/>
      <c r="E357" s="26" t="s">
        <v>977</v>
      </c>
      <c r="F357" s="90">
        <f>'Historic TCOS'!F353</f>
        <v>0.06</v>
      </c>
      <c r="G357" s="26" t="s">
        <v>293</v>
      </c>
      <c r="H357" s="15"/>
      <c r="I357" s="15"/>
      <c r="J357" s="15"/>
      <c r="K357" s="15"/>
      <c r="L357" s="15"/>
      <c r="O357" s="86"/>
      <c r="P357" s="86"/>
      <c r="Q357" s="86"/>
      <c r="R357" s="86"/>
      <c r="S357" s="86"/>
      <c r="T357" s="86"/>
      <c r="U357" s="86"/>
    </row>
    <row r="358" spans="2:21" ht="15">
      <c r="B358" s="5"/>
      <c r="C358" s="86"/>
      <c r="D358" s="57"/>
      <c r="E358" s="26" t="s">
        <v>978</v>
      </c>
      <c r="F358" s="90">
        <f>'Historic TCOS'!F354</f>
        <v>0</v>
      </c>
      <c r="G358" s="26" t="s">
        <v>979</v>
      </c>
      <c r="H358" s="15"/>
      <c r="I358" s="15"/>
      <c r="J358" s="15"/>
      <c r="K358" s="15"/>
      <c r="L358" s="15"/>
      <c r="O358" s="86"/>
      <c r="P358" s="86"/>
      <c r="Q358" s="86"/>
      <c r="R358" s="86"/>
      <c r="S358" s="86"/>
      <c r="T358" s="86"/>
      <c r="U358" s="86"/>
    </row>
    <row r="359" spans="2:21" ht="15">
      <c r="B359" s="141"/>
      <c r="C359" s="80"/>
      <c r="D359" s="57"/>
      <c r="E359" s="15"/>
      <c r="F359" s="15"/>
      <c r="G359" s="15"/>
      <c r="H359" s="15"/>
      <c r="I359" s="15"/>
      <c r="J359" s="15"/>
      <c r="K359" s="15"/>
      <c r="L359" s="15"/>
      <c r="O359" s="86"/>
      <c r="P359" s="86"/>
      <c r="Q359" s="86"/>
      <c r="R359" s="86"/>
      <c r="S359" s="86"/>
      <c r="T359" s="86"/>
      <c r="U359" s="86"/>
    </row>
    <row r="360" spans="2:21" ht="15">
      <c r="B360" s="96" t="s">
        <v>980</v>
      </c>
      <c r="C360" s="80"/>
      <c r="D360" s="57" t="s">
        <v>742</v>
      </c>
      <c r="E360" s="15"/>
      <c r="F360" s="15"/>
      <c r="G360" s="15"/>
      <c r="H360" s="15"/>
      <c r="I360" s="15"/>
      <c r="J360" s="15"/>
      <c r="K360" s="15"/>
      <c r="L360" s="15"/>
      <c r="O360" s="86"/>
      <c r="P360" s="86"/>
      <c r="Q360" s="86"/>
      <c r="R360" s="86"/>
      <c r="S360" s="86"/>
      <c r="T360" s="86"/>
      <c r="U360" s="86"/>
    </row>
    <row r="361" spans="2:21" ht="15">
      <c r="B361" s="16"/>
      <c r="D361" s="57"/>
      <c r="E361" s="15"/>
      <c r="F361" s="15"/>
      <c r="G361" s="15"/>
      <c r="H361" s="15"/>
      <c r="I361" s="15"/>
      <c r="J361" s="15"/>
      <c r="K361" s="15"/>
      <c r="L361" s="15"/>
      <c r="O361" s="86"/>
      <c r="P361" s="86"/>
      <c r="Q361" s="86"/>
      <c r="R361" s="86"/>
      <c r="S361" s="86"/>
      <c r="T361" s="86"/>
      <c r="U361" s="86"/>
    </row>
    <row r="362" spans="2:21" ht="15">
      <c r="B362" s="96" t="s">
        <v>981</v>
      </c>
      <c r="C362" s="80"/>
      <c r="D362" s="57" t="s">
        <v>494</v>
      </c>
      <c r="E362" s="15"/>
      <c r="F362" s="15"/>
      <c r="G362" s="15"/>
      <c r="H362" s="15"/>
      <c r="I362" s="15"/>
      <c r="J362" s="15"/>
      <c r="K362" s="15"/>
      <c r="L362" s="15"/>
      <c r="O362" s="86"/>
      <c r="P362" s="86"/>
      <c r="Q362" s="86"/>
      <c r="R362" s="86"/>
      <c r="S362" s="86"/>
      <c r="T362" s="86"/>
      <c r="U362" s="86"/>
    </row>
    <row r="363" spans="2:21" ht="15">
      <c r="B363" s="96"/>
      <c r="C363" s="80"/>
      <c r="D363" s="57"/>
      <c r="E363" s="26"/>
      <c r="F363" s="26"/>
      <c r="G363" s="26"/>
      <c r="H363" s="26"/>
      <c r="I363" s="26"/>
      <c r="J363" s="26"/>
      <c r="K363" s="26"/>
      <c r="L363" s="26"/>
      <c r="O363" s="86"/>
      <c r="P363" s="86"/>
      <c r="Q363" s="86"/>
      <c r="R363" s="86"/>
      <c r="S363" s="86"/>
      <c r="T363" s="86"/>
      <c r="U363" s="86"/>
    </row>
    <row r="364" spans="2:21" ht="15">
      <c r="B364" s="96" t="s">
        <v>982</v>
      </c>
      <c r="C364" s="80"/>
      <c r="D364" s="57" t="s">
        <v>67</v>
      </c>
      <c r="E364" s="26"/>
      <c r="F364" s="26"/>
      <c r="G364" s="26"/>
      <c r="H364" s="26"/>
      <c r="I364" s="26"/>
      <c r="J364" s="26"/>
      <c r="K364" s="26"/>
      <c r="L364" s="26"/>
      <c r="O364" s="86"/>
      <c r="P364" s="86"/>
      <c r="Q364" s="86"/>
      <c r="R364" s="86"/>
      <c r="S364" s="86"/>
      <c r="T364" s="86"/>
      <c r="U364" s="86"/>
    </row>
    <row r="365" spans="2:21" ht="15">
      <c r="B365" s="96"/>
      <c r="C365" s="80"/>
      <c r="D365" s="57"/>
      <c r="E365" s="26"/>
      <c r="F365" s="26"/>
      <c r="G365" s="26"/>
      <c r="H365" s="26"/>
      <c r="I365" s="26"/>
      <c r="J365" s="26"/>
      <c r="K365" s="26"/>
      <c r="L365" s="26"/>
      <c r="O365" s="86"/>
      <c r="P365" s="86"/>
      <c r="Q365" s="86"/>
      <c r="R365" s="86"/>
      <c r="S365" s="86"/>
      <c r="T365" s="86"/>
      <c r="U365" s="86"/>
    </row>
    <row r="366" spans="2:21" ht="15">
      <c r="B366" s="982" t="s">
        <v>983</v>
      </c>
      <c r="C366" s="982"/>
      <c r="D366" s="1192" t="s">
        <v>1034</v>
      </c>
      <c r="E366" s="1193"/>
      <c r="F366" s="1193"/>
      <c r="G366" s="1193"/>
      <c r="H366" s="1193"/>
      <c r="I366" s="1193"/>
      <c r="J366" s="1193"/>
      <c r="K366" s="1037"/>
      <c r="L366" s="1037"/>
      <c r="O366" s="86"/>
      <c r="P366" s="86"/>
      <c r="Q366" s="86"/>
      <c r="R366" s="86"/>
      <c r="S366" s="86"/>
      <c r="T366" s="86"/>
      <c r="U366" s="86"/>
    </row>
    <row r="367" spans="2:21" ht="15">
      <c r="B367" s="982"/>
      <c r="C367" s="982"/>
      <c r="D367" s="1193"/>
      <c r="E367" s="1193"/>
      <c r="F367" s="1193"/>
      <c r="G367" s="1193"/>
      <c r="H367" s="1193"/>
      <c r="I367" s="1193"/>
      <c r="J367" s="1193"/>
      <c r="K367" s="1037"/>
      <c r="L367" s="1037"/>
      <c r="O367" s="86"/>
      <c r="P367" s="86"/>
      <c r="Q367" s="86"/>
      <c r="R367" s="86"/>
      <c r="S367" s="86"/>
      <c r="T367" s="86"/>
      <c r="U367" s="86"/>
    </row>
    <row r="368" spans="2:21" ht="15">
      <c r="B368" s="982"/>
      <c r="C368" s="982"/>
      <c r="D368" s="1193"/>
      <c r="E368" s="1193"/>
      <c r="F368" s="1193"/>
      <c r="G368" s="1193"/>
      <c r="H368" s="1193"/>
      <c r="I368" s="1193"/>
      <c r="J368" s="1193"/>
      <c r="K368" s="1037"/>
      <c r="L368" s="1037"/>
      <c r="O368" s="86"/>
      <c r="P368" s="86"/>
      <c r="Q368" s="86"/>
      <c r="R368" s="86"/>
      <c r="S368" s="86"/>
      <c r="T368" s="86"/>
      <c r="U368" s="86"/>
    </row>
    <row r="369" spans="2:21" ht="15">
      <c r="B369" s="982"/>
      <c r="C369" s="982"/>
      <c r="D369" s="1193"/>
      <c r="E369" s="1193"/>
      <c r="F369" s="1193"/>
      <c r="G369" s="1193"/>
      <c r="H369" s="1193"/>
      <c r="I369" s="1193"/>
      <c r="J369" s="1193"/>
      <c r="K369" s="1037"/>
      <c r="L369" s="1037"/>
      <c r="O369" s="86"/>
      <c r="P369" s="86"/>
      <c r="Q369" s="86"/>
      <c r="R369" s="86"/>
      <c r="S369" s="86"/>
      <c r="T369" s="86"/>
      <c r="U369" s="86"/>
    </row>
    <row r="370" spans="2:21" ht="15">
      <c r="B370" s="982"/>
      <c r="C370" s="982"/>
      <c r="D370" s="1193"/>
      <c r="E370" s="1193"/>
      <c r="F370" s="1193"/>
      <c r="G370" s="1193"/>
      <c r="H370" s="1193"/>
      <c r="I370" s="1193"/>
      <c r="J370" s="1193"/>
      <c r="K370" s="1037"/>
      <c r="L370" s="1037"/>
      <c r="O370" s="86"/>
      <c r="P370" s="86"/>
      <c r="Q370" s="86"/>
      <c r="R370" s="86"/>
      <c r="S370" s="86"/>
      <c r="T370" s="86"/>
      <c r="U370" s="86"/>
    </row>
    <row r="371" spans="2:21" ht="15">
      <c r="B371" s="982"/>
      <c r="C371" s="982"/>
      <c r="D371" s="1193"/>
      <c r="E371" s="1193"/>
      <c r="F371" s="1193"/>
      <c r="G371" s="1193"/>
      <c r="H371" s="1193"/>
      <c r="I371" s="1193"/>
      <c r="J371" s="1193"/>
      <c r="K371" s="1037"/>
      <c r="L371" s="1037"/>
      <c r="O371" s="86"/>
      <c r="P371" s="86"/>
      <c r="Q371" s="86"/>
      <c r="R371" s="86"/>
      <c r="S371" s="86"/>
      <c r="T371" s="86"/>
      <c r="U371" s="86"/>
    </row>
    <row r="372" spans="2:21" ht="3.75" customHeight="1">
      <c r="B372" s="982"/>
      <c r="C372" s="982"/>
      <c r="D372" s="1193"/>
      <c r="E372" s="1193"/>
      <c r="F372" s="1193"/>
      <c r="G372" s="1193"/>
      <c r="H372" s="1193"/>
      <c r="I372" s="1193"/>
      <c r="J372" s="1193"/>
      <c r="K372" s="1037"/>
      <c r="L372" s="1037"/>
      <c r="O372" s="86"/>
      <c r="P372" s="86"/>
      <c r="Q372" s="86"/>
      <c r="R372" s="86"/>
      <c r="S372" s="86"/>
      <c r="T372" s="86"/>
      <c r="U372" s="86"/>
    </row>
    <row r="373" spans="2:21" ht="54.75" customHeight="1">
      <c r="B373" s="982"/>
      <c r="C373" s="982"/>
      <c r="D373" s="1192" t="s">
        <v>1035</v>
      </c>
      <c r="E373" s="1193"/>
      <c r="F373" s="1193"/>
      <c r="G373" s="1193"/>
      <c r="H373" s="1193"/>
      <c r="I373" s="1193"/>
      <c r="J373" s="1193"/>
      <c r="K373" s="1037"/>
      <c r="L373" s="1037"/>
      <c r="O373" s="86"/>
      <c r="P373" s="86"/>
      <c r="Q373" s="86"/>
      <c r="R373" s="86"/>
      <c r="S373" s="86"/>
      <c r="T373" s="86"/>
      <c r="U373" s="86"/>
    </row>
    <row r="374" spans="2:21" ht="18" customHeight="1">
      <c r="B374" s="987"/>
      <c r="C374" s="987"/>
      <c r="D374" s="1045"/>
      <c r="E374" s="1046"/>
      <c r="F374" s="1046"/>
      <c r="G374" s="1046"/>
      <c r="H374" s="1046"/>
      <c r="I374" s="1046"/>
      <c r="J374" s="1046"/>
      <c r="O374" s="86"/>
      <c r="P374" s="86"/>
      <c r="Q374" s="86"/>
      <c r="R374" s="86"/>
      <c r="S374" s="86"/>
      <c r="T374" s="86"/>
      <c r="U374" s="86"/>
    </row>
    <row r="375" spans="2:21" ht="15" customHeight="1">
      <c r="B375" s="96" t="s">
        <v>79</v>
      </c>
      <c r="C375" s="80"/>
      <c r="D375" s="1187" t="str">
        <f>""&amp;F7&amp;"'s Common Stock is limited to 50% of the capital structure.  This limit may only be changed through a Section 205 or 206 filing effective after June 30, 2013."</f>
        <v>AEP KENTUCKY TRANSMISSION COMPANY's Common Stock is limited to 50% of the capital structure.  This limit may only be changed through a Section 205 or 206 filing effective after June 30, 2013.</v>
      </c>
      <c r="E375" s="1187"/>
      <c r="F375" s="1187"/>
      <c r="G375" s="1187"/>
      <c r="H375" s="1187"/>
      <c r="I375" s="1187"/>
      <c r="J375" s="1187"/>
      <c r="K375" s="1187"/>
      <c r="L375" s="1187"/>
      <c r="O375" s="86"/>
      <c r="P375" s="86"/>
      <c r="Q375" s="86"/>
      <c r="R375" s="86"/>
      <c r="S375" s="86"/>
      <c r="T375" s="86"/>
      <c r="U375" s="86"/>
    </row>
    <row r="376" spans="2:21" ht="21.75" customHeight="1">
      <c r="B376" s="96"/>
      <c r="C376" s="80"/>
      <c r="D376" s="1187"/>
      <c r="E376" s="1187"/>
      <c r="F376" s="1187"/>
      <c r="G376" s="1187"/>
      <c r="H376" s="1187"/>
      <c r="I376" s="1187"/>
      <c r="J376" s="1187"/>
      <c r="K376" s="1187"/>
      <c r="L376" s="1187"/>
      <c r="O376" s="86"/>
      <c r="P376" s="86"/>
      <c r="Q376" s="86"/>
      <c r="R376" s="86"/>
      <c r="S376" s="86"/>
      <c r="T376" s="86"/>
      <c r="U376" s="86"/>
    </row>
    <row r="377" spans="2:21" ht="15">
      <c r="B377" s="96"/>
      <c r="C377" s="80"/>
      <c r="D377" s="16" t="s">
        <v>741</v>
      </c>
      <c r="O377" s="86"/>
      <c r="P377" s="86"/>
      <c r="Q377" s="86"/>
      <c r="R377" s="86"/>
      <c r="S377" s="86"/>
      <c r="T377" s="86"/>
      <c r="U377" s="86"/>
    </row>
    <row r="378" spans="2:21" ht="15">
      <c r="B378" s="96"/>
      <c r="C378" s="80"/>
      <c r="O378" s="86"/>
      <c r="P378" s="86"/>
      <c r="Q378" s="86"/>
      <c r="R378" s="86"/>
      <c r="S378" s="86"/>
      <c r="T378" s="86"/>
      <c r="U378" s="86"/>
    </row>
    <row r="379" spans="2:21" ht="15">
      <c r="B379" s="96"/>
      <c r="C379" s="80"/>
      <c r="O379" s="86"/>
      <c r="P379" s="86"/>
      <c r="Q379" s="86"/>
      <c r="R379" s="86"/>
      <c r="S379" s="86"/>
      <c r="T379" s="86"/>
      <c r="U379" s="86"/>
    </row>
    <row r="380" spans="2:21" ht="15">
      <c r="B380" s="96"/>
      <c r="C380" s="80"/>
      <c r="O380" s="86"/>
      <c r="P380" s="86"/>
      <c r="Q380" s="86"/>
      <c r="R380" s="86"/>
      <c r="S380" s="86"/>
      <c r="T380" s="86"/>
      <c r="U380" s="86"/>
    </row>
    <row r="381" spans="2:21" ht="15">
      <c r="B381" s="96"/>
      <c r="C381" s="80"/>
      <c r="O381" s="86"/>
      <c r="P381" s="86"/>
      <c r="Q381" s="86"/>
      <c r="R381" s="86"/>
      <c r="S381" s="86"/>
      <c r="T381" s="86"/>
      <c r="U381" s="86"/>
    </row>
    <row r="382" spans="2:21" ht="15">
      <c r="B382" s="96"/>
      <c r="C382" s="80"/>
      <c r="O382" s="86"/>
      <c r="P382" s="86"/>
      <c r="Q382" s="86"/>
      <c r="R382" s="86"/>
      <c r="S382" s="86"/>
      <c r="T382" s="86"/>
      <c r="U382" s="86"/>
    </row>
    <row r="383" spans="2:21" ht="15">
      <c r="B383" s="96"/>
      <c r="C383" s="80"/>
      <c r="O383" s="86"/>
      <c r="P383" s="86"/>
      <c r="Q383" s="86"/>
      <c r="R383" s="86"/>
      <c r="S383" s="86"/>
      <c r="T383" s="86"/>
      <c r="U383" s="86"/>
    </row>
    <row r="384" spans="2:21" ht="15">
      <c r="B384"/>
      <c r="C384"/>
      <c r="D384"/>
      <c r="E384"/>
      <c r="F384"/>
      <c r="G384"/>
      <c r="H384"/>
      <c r="O384" s="86"/>
      <c r="P384" s="86"/>
      <c r="Q384" s="86"/>
      <c r="R384" s="86"/>
      <c r="S384" s="86"/>
      <c r="T384" s="86"/>
      <c r="U384" s="86"/>
    </row>
    <row r="385" spans="2:21" ht="15">
      <c r="B385"/>
      <c r="C385"/>
      <c r="D385"/>
      <c r="E385"/>
      <c r="F385"/>
      <c r="G385"/>
      <c r="H385"/>
      <c r="O385" s="86"/>
      <c r="P385" s="86"/>
      <c r="Q385" s="86"/>
      <c r="R385" s="86"/>
      <c r="S385" s="86"/>
      <c r="T385" s="86"/>
      <c r="U385" s="86"/>
    </row>
    <row r="386" spans="2:21" ht="15">
      <c r="B386"/>
      <c r="C386"/>
      <c r="D386"/>
      <c r="E386"/>
      <c r="F386"/>
      <c r="G386"/>
      <c r="H386"/>
      <c r="O386" s="86"/>
      <c r="P386" s="86"/>
      <c r="Q386" s="86"/>
      <c r="R386" s="86"/>
      <c r="S386" s="86"/>
      <c r="T386" s="86"/>
      <c r="U386" s="86"/>
    </row>
    <row r="387" spans="2:21" ht="15">
      <c r="B387"/>
      <c r="C387"/>
      <c r="D387"/>
      <c r="E387"/>
      <c r="F387"/>
      <c r="G387"/>
      <c r="H387"/>
      <c r="O387" s="86"/>
      <c r="P387" s="86"/>
      <c r="Q387" s="86"/>
      <c r="R387" s="86"/>
      <c r="S387" s="86"/>
      <c r="T387" s="86"/>
      <c r="U387" s="86"/>
    </row>
    <row r="388" spans="2:21" ht="15">
      <c r="B388"/>
      <c r="C388"/>
      <c r="D388" s="1164"/>
      <c r="E388" s="1164"/>
      <c r="F388" s="1164"/>
      <c r="G388" s="1164"/>
      <c r="H388" s="1164"/>
      <c r="I388" s="1164"/>
      <c r="J388" s="1164"/>
      <c r="O388" s="86"/>
      <c r="P388" s="86"/>
      <c r="Q388" s="86"/>
      <c r="R388" s="86"/>
      <c r="S388" s="86"/>
      <c r="T388" s="86"/>
      <c r="U388" s="86"/>
    </row>
    <row r="389" spans="2:21" ht="15">
      <c r="B389"/>
      <c r="C389"/>
      <c r="D389" s="1164"/>
      <c r="E389" s="1164"/>
      <c r="F389" s="1164"/>
      <c r="G389" s="1164"/>
      <c r="H389" s="1164"/>
      <c r="I389" s="1164"/>
      <c r="J389" s="1164"/>
      <c r="O389" s="86"/>
      <c r="P389" s="86"/>
      <c r="Q389" s="86"/>
      <c r="R389" s="86"/>
      <c r="S389" s="86"/>
      <c r="T389" s="86"/>
      <c r="U389" s="86"/>
    </row>
    <row r="390" spans="2:21" ht="15">
      <c r="B390"/>
      <c r="C390"/>
      <c r="D390"/>
      <c r="E390"/>
      <c r="F390"/>
      <c r="G390"/>
      <c r="H390"/>
      <c r="O390" s="86"/>
      <c r="P390" s="86"/>
      <c r="Q390" s="86"/>
      <c r="R390" s="86"/>
      <c r="S390" s="86"/>
      <c r="T390" s="86"/>
      <c r="U390" s="86"/>
    </row>
    <row r="391" spans="2:21" ht="15">
      <c r="B391"/>
      <c r="C391"/>
      <c r="D391"/>
      <c r="E391"/>
      <c r="F391"/>
      <c r="G391"/>
      <c r="H391"/>
      <c r="O391" s="86"/>
      <c r="P391" s="86"/>
      <c r="Q391" s="86"/>
      <c r="R391" s="86"/>
      <c r="S391" s="86"/>
      <c r="T391" s="86"/>
      <c r="U391" s="86"/>
    </row>
    <row r="392" spans="2:21" ht="15">
      <c r="B392"/>
      <c r="C392"/>
      <c r="D392"/>
      <c r="E392"/>
      <c r="F392"/>
      <c r="G392"/>
      <c r="H392"/>
      <c r="O392" s="86"/>
      <c r="P392" s="86"/>
      <c r="Q392" s="86"/>
      <c r="R392" s="86"/>
      <c r="S392" s="86"/>
      <c r="T392" s="86"/>
      <c r="U392" s="86"/>
    </row>
    <row r="393" spans="2:21" ht="15">
      <c r="B393"/>
      <c r="C393"/>
      <c r="D393"/>
      <c r="E393"/>
      <c r="F393"/>
      <c r="G393"/>
      <c r="H393"/>
      <c r="O393" s="86"/>
      <c r="P393" s="86"/>
      <c r="Q393" s="86"/>
      <c r="R393" s="86"/>
      <c r="S393" s="86"/>
      <c r="T393" s="86"/>
      <c r="U393" s="86"/>
    </row>
    <row r="394" spans="2:21" ht="15">
      <c r="B394"/>
      <c r="C394"/>
      <c r="D394"/>
      <c r="E394"/>
      <c r="F394"/>
      <c r="G394"/>
      <c r="H394"/>
      <c r="O394" s="86"/>
      <c r="P394" s="86"/>
      <c r="Q394" s="86"/>
      <c r="R394" s="86"/>
      <c r="S394" s="86"/>
      <c r="T394" s="86"/>
      <c r="U394" s="86"/>
    </row>
    <row r="395" spans="2:21" ht="15">
      <c r="B395" s="96"/>
      <c r="C395" s="80"/>
      <c r="O395" s="86"/>
      <c r="P395" s="86"/>
      <c r="Q395" s="86"/>
      <c r="R395" s="86"/>
      <c r="S395" s="86"/>
      <c r="T395" s="86"/>
      <c r="U395" s="86"/>
    </row>
    <row r="396" spans="2:21" ht="15">
      <c r="B396" s="16"/>
      <c r="O396" s="86"/>
      <c r="P396" s="86"/>
      <c r="Q396" s="86"/>
      <c r="R396" s="86"/>
      <c r="S396" s="86"/>
      <c r="T396" s="86"/>
      <c r="U396" s="86"/>
    </row>
    <row r="397" spans="2:21" ht="15">
      <c r="B397" s="16"/>
      <c r="O397" s="86"/>
      <c r="P397" s="86"/>
      <c r="Q397" s="86"/>
      <c r="R397" s="86"/>
      <c r="S397" s="86"/>
      <c r="T397" s="86"/>
      <c r="U397" s="86"/>
    </row>
    <row r="398" spans="2:21" ht="15">
      <c r="B398" s="16"/>
      <c r="O398" s="86"/>
      <c r="P398" s="86"/>
      <c r="Q398" s="86"/>
      <c r="R398" s="86"/>
      <c r="S398" s="86"/>
      <c r="T398" s="86"/>
      <c r="U398" s="86"/>
    </row>
    <row r="399" spans="2:21" ht="15">
      <c r="B399" s="16"/>
      <c r="H399" s="86"/>
      <c r="I399" s="86"/>
      <c r="J399" s="86"/>
      <c r="K399" s="86"/>
      <c r="L399" s="86"/>
      <c r="O399" s="86"/>
      <c r="P399" s="86"/>
      <c r="Q399" s="86"/>
      <c r="R399" s="86"/>
      <c r="S399" s="86"/>
      <c r="T399" s="86"/>
      <c r="U399" s="86"/>
    </row>
    <row r="400" spans="2:21" ht="15">
      <c r="B400" s="16"/>
      <c r="H400" s="86"/>
      <c r="K400" s="86"/>
      <c r="L400" s="86"/>
      <c r="O400" s="86"/>
      <c r="P400" s="86"/>
      <c r="Q400" s="86"/>
      <c r="R400" s="86"/>
      <c r="S400" s="86"/>
      <c r="T400" s="86"/>
      <c r="U400" s="86"/>
    </row>
    <row r="401" spans="2:21" ht="15">
      <c r="B401" s="16"/>
      <c r="H401" s="86"/>
      <c r="I401" s="86" t="s">
        <v>148</v>
      </c>
      <c r="J401" s="197"/>
      <c r="K401" s="86"/>
      <c r="L401" s="86"/>
      <c r="O401" s="86"/>
      <c r="P401" s="86"/>
      <c r="Q401" s="86"/>
      <c r="R401" s="86"/>
      <c r="S401" s="86"/>
      <c r="T401" s="86"/>
      <c r="U401" s="86"/>
    </row>
    <row r="402" spans="2:21" ht="15">
      <c r="B402" s="16"/>
      <c r="H402" s="86"/>
      <c r="I402" s="196" t="s">
        <v>569</v>
      </c>
      <c r="J402" s="197">
        <v>1</v>
      </c>
      <c r="K402" s="86"/>
      <c r="L402" s="86"/>
      <c r="O402" s="86"/>
      <c r="P402" s="86"/>
      <c r="Q402" s="86"/>
      <c r="R402" s="86"/>
      <c r="S402" s="86"/>
      <c r="T402" s="86"/>
      <c r="U402" s="86"/>
    </row>
    <row r="403" spans="2:21" ht="15">
      <c r="B403" s="16"/>
      <c r="H403" s="86"/>
      <c r="I403" s="196" t="s">
        <v>960</v>
      </c>
      <c r="J403" s="197">
        <f>$J$70</f>
        <v>0</v>
      </c>
      <c r="K403" s="86"/>
      <c r="L403" s="86"/>
      <c r="O403" s="86"/>
      <c r="P403" s="86"/>
      <c r="Q403" s="86"/>
      <c r="R403" s="86"/>
      <c r="S403" s="86"/>
      <c r="T403" s="86"/>
      <c r="U403" s="86"/>
    </row>
    <row r="404" spans="2:21" ht="15">
      <c r="B404" s="16"/>
      <c r="H404" s="86"/>
      <c r="I404" s="196" t="s">
        <v>692</v>
      </c>
      <c r="J404" s="197">
        <f>$J$71</f>
        <v>0</v>
      </c>
      <c r="K404" s="86"/>
      <c r="L404" s="86"/>
      <c r="O404" s="86"/>
      <c r="P404" s="86"/>
      <c r="Q404" s="86"/>
      <c r="R404" s="86"/>
      <c r="S404" s="86"/>
      <c r="T404" s="86"/>
      <c r="U404" s="86"/>
    </row>
    <row r="405" spans="2:21" ht="15">
      <c r="B405" s="5"/>
      <c r="C405" s="86"/>
      <c r="D405" s="86"/>
      <c r="E405" s="86"/>
      <c r="F405" s="86"/>
      <c r="G405" s="86"/>
      <c r="H405" s="86"/>
      <c r="I405" s="196" t="s">
        <v>567</v>
      </c>
      <c r="J405" s="198">
        <v>0</v>
      </c>
      <c r="K405" s="86"/>
      <c r="L405" s="86"/>
      <c r="O405" s="86"/>
      <c r="P405" s="86"/>
      <c r="Q405" s="86"/>
      <c r="R405" s="86"/>
      <c r="S405" s="86"/>
      <c r="T405" s="86"/>
      <c r="U405" s="86"/>
    </row>
    <row r="406" spans="2:21" ht="15">
      <c r="B406" s="5"/>
      <c r="C406" s="86"/>
      <c r="D406" s="86"/>
      <c r="E406" s="86"/>
      <c r="F406" s="86"/>
      <c r="G406" s="86"/>
      <c r="H406" s="86"/>
      <c r="I406" s="196" t="s">
        <v>961</v>
      </c>
      <c r="J406" s="197">
        <f>$J$100</f>
        <v>0</v>
      </c>
      <c r="K406" s="86"/>
      <c r="L406" s="86"/>
      <c r="O406" s="86"/>
      <c r="P406" s="86"/>
      <c r="Q406" s="86"/>
      <c r="R406" s="86"/>
      <c r="S406" s="86"/>
      <c r="T406" s="86"/>
      <c r="U406" s="86"/>
    </row>
    <row r="407" spans="2:21" ht="15">
      <c r="B407" s="5"/>
      <c r="C407" s="86"/>
      <c r="D407" s="86"/>
      <c r="E407" s="86"/>
      <c r="F407" s="86"/>
      <c r="G407" s="86"/>
      <c r="H407" s="86"/>
      <c r="I407" s="196" t="s">
        <v>561</v>
      </c>
      <c r="J407" s="197">
        <f>$L$229</f>
        <v>1</v>
      </c>
      <c r="K407" s="86"/>
      <c r="L407" s="86"/>
      <c r="O407" s="86"/>
      <c r="P407" s="86"/>
      <c r="Q407" s="86"/>
      <c r="R407" s="86"/>
      <c r="S407" s="86"/>
      <c r="T407" s="86"/>
      <c r="U407" s="86"/>
    </row>
    <row r="408" spans="2:12" ht="15">
      <c r="B408" s="9"/>
      <c r="C408" s="59"/>
      <c r="D408" s="59"/>
      <c r="E408" s="59"/>
      <c r="F408" s="59"/>
      <c r="G408" s="59"/>
      <c r="H408" s="59"/>
      <c r="I408" s="196" t="s">
        <v>498</v>
      </c>
      <c r="J408" s="197">
        <f>$J$75</f>
        <v>1</v>
      </c>
      <c r="K408" s="59"/>
      <c r="L408" s="59"/>
    </row>
    <row r="409" spans="2:12" ht="15">
      <c r="B409" s="9"/>
      <c r="C409" s="59"/>
      <c r="D409" s="59"/>
      <c r="E409" s="59"/>
      <c r="F409" s="59"/>
      <c r="G409" s="59"/>
      <c r="H409" s="59"/>
      <c r="I409" s="196" t="s">
        <v>571</v>
      </c>
      <c r="J409" s="197">
        <f>$L$239</f>
        <v>0.9987295825771325</v>
      </c>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2:12" ht="15">
      <c r="B1249" s="9"/>
      <c r="C1249" s="59"/>
      <c r="D1249" s="59"/>
      <c r="E1249" s="59"/>
      <c r="F1249" s="59"/>
      <c r="G1249" s="59"/>
      <c r="H1249" s="59"/>
      <c r="I1249" s="59"/>
      <c r="J1249" s="59"/>
      <c r="K1249" s="59"/>
      <c r="L1249" s="59"/>
    </row>
    <row r="1250" spans="2:12" ht="15">
      <c r="B1250" s="9"/>
      <c r="C1250" s="59"/>
      <c r="D1250" s="59"/>
      <c r="E1250" s="59"/>
      <c r="F1250" s="59"/>
      <c r="G1250" s="59"/>
      <c r="H1250" s="59"/>
      <c r="I1250" s="59"/>
      <c r="J1250" s="59"/>
      <c r="K1250" s="59"/>
      <c r="L1250" s="59"/>
    </row>
    <row r="1251" spans="2:12" ht="15">
      <c r="B1251" s="9"/>
      <c r="C1251" s="59"/>
      <c r="D1251" s="59"/>
      <c r="E1251" s="59"/>
      <c r="F1251" s="59"/>
      <c r="G1251" s="59"/>
      <c r="H1251" s="59"/>
      <c r="I1251" s="59"/>
      <c r="J1251" s="59"/>
      <c r="K1251" s="59"/>
      <c r="L1251" s="59"/>
    </row>
    <row r="1252" spans="2:12" ht="15">
      <c r="B1252" s="9"/>
      <c r="C1252" s="59"/>
      <c r="D1252" s="59"/>
      <c r="E1252" s="59"/>
      <c r="F1252" s="59"/>
      <c r="G1252" s="59"/>
      <c r="H1252" s="59"/>
      <c r="I1252" s="59"/>
      <c r="J1252" s="59"/>
      <c r="K1252" s="59"/>
      <c r="L1252" s="59"/>
    </row>
    <row r="1253" spans="2:12" ht="15">
      <c r="B1253" s="9"/>
      <c r="C1253" s="59"/>
      <c r="D1253" s="59"/>
      <c r="E1253" s="59"/>
      <c r="F1253" s="59"/>
      <c r="G1253" s="59"/>
      <c r="H1253" s="59"/>
      <c r="I1253" s="59"/>
      <c r="J1253" s="59"/>
      <c r="K1253" s="59"/>
      <c r="L1253" s="59"/>
    </row>
    <row r="1254" spans="2:12" ht="15">
      <c r="B1254" s="9"/>
      <c r="C1254" s="59"/>
      <c r="D1254" s="59"/>
      <c r="E1254" s="59"/>
      <c r="F1254" s="59"/>
      <c r="G1254" s="59"/>
      <c r="H1254" s="59"/>
      <c r="I1254" s="59"/>
      <c r="J1254" s="59"/>
      <c r="K1254" s="59"/>
      <c r="L1254" s="59"/>
    </row>
    <row r="1255" spans="2:12" ht="15">
      <c r="B1255" s="9"/>
      <c r="C1255" s="59"/>
      <c r="D1255" s="59"/>
      <c r="E1255" s="59"/>
      <c r="F1255" s="59"/>
      <c r="G1255" s="59"/>
      <c r="H1255" s="59"/>
      <c r="I1255" s="59"/>
      <c r="J1255" s="59"/>
      <c r="K1255" s="59"/>
      <c r="L1255" s="59"/>
    </row>
    <row r="1256" spans="2:12" ht="15">
      <c r="B1256" s="9"/>
      <c r="C1256" s="59"/>
      <c r="D1256" s="59"/>
      <c r="E1256" s="59"/>
      <c r="F1256" s="59"/>
      <c r="G1256" s="59"/>
      <c r="H1256" s="59"/>
      <c r="I1256" s="59"/>
      <c r="J1256" s="59"/>
      <c r="K1256" s="59"/>
      <c r="L1256" s="59"/>
    </row>
    <row r="1257" spans="2:12" ht="15">
      <c r="B1257" s="9"/>
      <c r="C1257" s="59"/>
      <c r="D1257" s="59"/>
      <c r="E1257" s="59"/>
      <c r="F1257" s="59"/>
      <c r="G1257" s="59"/>
      <c r="H1257" s="59"/>
      <c r="I1257" s="59"/>
      <c r="J1257" s="59"/>
      <c r="K1257" s="59"/>
      <c r="L1257" s="59"/>
    </row>
    <row r="1258" spans="2:12" ht="15">
      <c r="B1258" s="9"/>
      <c r="C1258" s="59"/>
      <c r="D1258" s="59"/>
      <c r="E1258" s="59"/>
      <c r="F1258" s="59"/>
      <c r="G1258" s="59"/>
      <c r="H1258" s="59"/>
      <c r="I1258" s="59"/>
      <c r="J1258" s="59"/>
      <c r="K1258" s="59"/>
      <c r="L1258" s="59"/>
    </row>
    <row r="1259" spans="2:12" ht="15">
      <c r="B1259" s="9"/>
      <c r="C1259" s="59"/>
      <c r="D1259" s="59"/>
      <c r="E1259" s="59"/>
      <c r="F1259" s="59"/>
      <c r="G1259" s="59"/>
      <c r="H1259" s="59"/>
      <c r="I1259" s="59"/>
      <c r="J1259" s="59"/>
      <c r="K1259" s="59"/>
      <c r="L1259" s="59"/>
    </row>
    <row r="1260" spans="2:12" ht="15">
      <c r="B1260" s="9"/>
      <c r="C1260" s="59"/>
      <c r="D1260" s="59"/>
      <c r="E1260" s="59"/>
      <c r="F1260" s="59"/>
      <c r="G1260" s="59"/>
      <c r="H1260" s="59"/>
      <c r="I1260" s="59"/>
      <c r="J1260" s="59"/>
      <c r="K1260" s="59"/>
      <c r="L1260" s="59"/>
    </row>
    <row r="1261" spans="2:12" ht="15">
      <c r="B1261" s="9"/>
      <c r="C1261" s="59"/>
      <c r="D1261" s="59"/>
      <c r="E1261" s="59"/>
      <c r="F1261" s="59"/>
      <c r="G1261" s="59"/>
      <c r="H1261" s="59"/>
      <c r="I1261" s="59"/>
      <c r="J1261" s="59"/>
      <c r="K1261" s="59"/>
      <c r="L1261" s="59"/>
    </row>
    <row r="1262" spans="2:12" ht="15">
      <c r="B1262" s="9"/>
      <c r="C1262" s="59"/>
      <c r="D1262" s="59"/>
      <c r="E1262" s="59"/>
      <c r="F1262" s="59"/>
      <c r="G1262" s="59"/>
      <c r="H1262" s="59"/>
      <c r="I1262" s="59"/>
      <c r="J1262" s="59"/>
      <c r="K1262" s="59"/>
      <c r="L1262" s="59"/>
    </row>
    <row r="1263" spans="2:12" ht="15">
      <c r="B1263" s="9"/>
      <c r="C1263" s="59"/>
      <c r="D1263" s="59"/>
      <c r="E1263" s="59"/>
      <c r="F1263" s="59"/>
      <c r="G1263" s="59"/>
      <c r="H1263" s="59"/>
      <c r="I1263" s="59"/>
      <c r="J1263" s="59"/>
      <c r="K1263" s="59"/>
      <c r="L1263" s="59"/>
    </row>
    <row r="1264" spans="2:12" ht="15">
      <c r="B1264" s="9"/>
      <c r="C1264" s="59"/>
      <c r="D1264" s="59"/>
      <c r="E1264" s="59"/>
      <c r="F1264" s="59"/>
      <c r="G1264" s="59"/>
      <c r="H1264" s="59"/>
      <c r="I1264" s="59"/>
      <c r="J1264" s="59"/>
      <c r="K1264" s="59"/>
      <c r="L1264" s="59"/>
    </row>
    <row r="1265" spans="2:12" ht="15">
      <c r="B1265" s="9"/>
      <c r="C1265" s="59"/>
      <c r="D1265" s="59"/>
      <c r="E1265" s="59"/>
      <c r="F1265" s="59"/>
      <c r="G1265" s="59"/>
      <c r="H1265" s="59"/>
      <c r="I1265" s="59"/>
      <c r="J1265" s="59"/>
      <c r="K1265" s="59"/>
      <c r="L1265" s="59"/>
    </row>
    <row r="1266" spans="9:10" ht="15">
      <c r="I1266" s="59"/>
      <c r="J1266" s="59"/>
    </row>
  </sheetData>
  <sheetProtection/>
  <mergeCells count="19">
    <mergeCell ref="B17:I18"/>
    <mergeCell ref="I53:J53"/>
    <mergeCell ref="I56:J56"/>
    <mergeCell ref="I137:J137"/>
    <mergeCell ref="D35:L35"/>
    <mergeCell ref="I140:J140"/>
    <mergeCell ref="D388:J389"/>
    <mergeCell ref="D300:K301"/>
    <mergeCell ref="D328:J329"/>
    <mergeCell ref="D334:J336"/>
    <mergeCell ref="D321:K323"/>
    <mergeCell ref="D366:J372"/>
    <mergeCell ref="D345:L347"/>
    <mergeCell ref="G252:H252"/>
    <mergeCell ref="D375:L376"/>
    <mergeCell ref="D338:K338"/>
    <mergeCell ref="D373:J373"/>
    <mergeCell ref="G271:H271"/>
    <mergeCell ref="D325:K327"/>
  </mergeCells>
  <printOptions/>
  <pageMargins left="0.26" right="1.28" top="1" bottom="1" header="1" footer="0.5"/>
  <pageSetup fitToHeight="5" horizontalDpi="600" verticalDpi="600" orientation="portrait" scale="41" r:id="rId1"/>
  <headerFooter alignWithMargins="0">
    <oddHeader>&amp;R&amp;"Arial,Bold"Formula Rate
 &amp;A
Page &amp;P of &amp;N</oddHeader>
  </headerFooter>
  <rowBreaks count="4" manualBreakCount="4">
    <brk id="44" max="11" man="1"/>
    <brk id="129" max="11" man="1"/>
    <brk id="213" max="11" man="1"/>
    <brk id="278" max="11" man="1"/>
  </rowBreaks>
</worksheet>
</file>

<file path=xl/worksheets/sheet5.xml><?xml version="1.0" encoding="utf-8"?>
<worksheet xmlns="http://schemas.openxmlformats.org/spreadsheetml/2006/main" xmlns:r="http://schemas.openxmlformats.org/officeDocument/2006/relationships">
  <sheetPr>
    <pageSetUpPr fitToPage="1"/>
  </sheetPr>
  <dimension ref="A1:U99"/>
  <sheetViews>
    <sheetView zoomScale="85" zoomScaleNormal="85" zoomScalePageLayoutView="0" workbookViewId="0" topLeftCell="A1">
      <selection activeCell="E22" sqref="E22"/>
    </sheetView>
  </sheetViews>
  <sheetFormatPr defaultColWidth="11.421875" defaultRowHeight="12.75"/>
  <cols>
    <col min="1" max="1" width="9.00390625" style="231" customWidth="1"/>
    <col min="2" max="2" width="4.28125" style="232" customWidth="1"/>
    <col min="3" max="3" width="45.57421875" style="232" customWidth="1"/>
    <col min="4" max="4" width="41.28125" style="232" bestFit="1" customWidth="1"/>
    <col min="5" max="5" width="19.421875" style="232" customWidth="1"/>
    <col min="6" max="6" width="20.140625" style="232" customWidth="1"/>
    <col min="7" max="8" width="17.00390625" style="232" customWidth="1"/>
    <col min="9" max="9" width="16.00390625" style="244" customWidth="1"/>
    <col min="10" max="10" width="16.7109375" style="232" customWidth="1"/>
    <col min="11" max="11" width="13.7109375" style="232" customWidth="1"/>
    <col min="12" max="12" width="11.57421875" style="232" customWidth="1"/>
    <col min="13" max="14" width="13.421875" style="232" customWidth="1"/>
    <col min="15" max="15" width="13.7109375" style="232" customWidth="1"/>
    <col min="16" max="16384" width="11.421875" style="232" customWidth="1"/>
  </cols>
  <sheetData>
    <row r="1" spans="1:10" ht="15">
      <c r="A1" s="1207" t="str">
        <f>'Historic TCOS'!$F$3</f>
        <v>AEPTCo subsidiaries in PJM</v>
      </c>
      <c r="B1" s="1207" t="str">
        <f>'Historic TCOS'!$F$3</f>
        <v>AEPTCo subsidiaries in PJM</v>
      </c>
      <c r="C1" s="1207" t="str">
        <f>'Historic TCOS'!$F$3</f>
        <v>AEPTCo subsidiaries in PJM</v>
      </c>
      <c r="D1" s="1207" t="str">
        <f>'Historic TCOS'!$F$3</f>
        <v>AEPTCo subsidiaries in PJM</v>
      </c>
      <c r="E1" s="1207" t="str">
        <f>'Historic TCOS'!$F$3</f>
        <v>AEPTCo subsidiaries in PJM</v>
      </c>
      <c r="F1" s="1207" t="str">
        <f>'Historic TCOS'!$F$3</f>
        <v>AEPTCo subsidiaries in PJM</v>
      </c>
      <c r="G1" s="1207" t="str">
        <f>'Historic TCOS'!$F$3</f>
        <v>AEPTCo subsidiaries in PJM</v>
      </c>
      <c r="H1" s="171"/>
      <c r="I1"/>
      <c r="J1"/>
    </row>
    <row r="2" spans="1:9" ht="15">
      <c r="A2" s="1206" t="str">
        <f>"Cost of Service Formula Rate Using "&amp;'Historic TCOS'!O1&amp;" FF1 Balances"</f>
        <v>Cost of Service Formula Rate Using 2014 FF1 Balances</v>
      </c>
      <c r="B2" s="1206"/>
      <c r="C2" s="1206"/>
      <c r="D2" s="1206"/>
      <c r="E2" s="1206"/>
      <c r="F2" s="1206"/>
      <c r="G2" s="1206"/>
      <c r="H2" s="463"/>
      <c r="I2" s="232"/>
    </row>
    <row r="3" spans="1:9" ht="15">
      <c r="A3" s="1206" t="s">
        <v>281</v>
      </c>
      <c r="B3" s="1206"/>
      <c r="C3" s="1206"/>
      <c r="D3" s="1206"/>
      <c r="E3" s="1206"/>
      <c r="F3" s="1206"/>
      <c r="G3" s="1206"/>
      <c r="H3" s="274"/>
      <c r="I3" s="232"/>
    </row>
    <row r="4" spans="1:9" ht="15">
      <c r="A4" s="1208" t="str">
        <f>+'Historic TCOS'!F7</f>
        <v>AEP KENTUCKY TRANSMISSION COMPANY</v>
      </c>
      <c r="B4" s="1208"/>
      <c r="C4" s="1208"/>
      <c r="D4" s="1208"/>
      <c r="E4" s="1208"/>
      <c r="F4" s="1208"/>
      <c r="G4" s="1208"/>
      <c r="H4" s="464"/>
      <c r="I4" s="232"/>
    </row>
    <row r="5" spans="1:9" ht="15">
      <c r="A5" s="464"/>
      <c r="B5" s="464"/>
      <c r="C5" s="464"/>
      <c r="E5" s="577"/>
      <c r="F5" s="577"/>
      <c r="G5" s="577"/>
      <c r="H5" s="577"/>
      <c r="I5" s="577"/>
    </row>
    <row r="6" spans="3:9" ht="12.75">
      <c r="C6" s="260" t="s">
        <v>601</v>
      </c>
      <c r="D6" s="260" t="s">
        <v>602</v>
      </c>
      <c r="E6" s="260" t="s">
        <v>603</v>
      </c>
      <c r="F6" s="260" t="s">
        <v>604</v>
      </c>
      <c r="G6" s="260" t="s">
        <v>522</v>
      </c>
      <c r="H6" s="260"/>
      <c r="I6" s="261"/>
    </row>
    <row r="7" spans="1:9" ht="12.75" customHeight="1">
      <c r="A7" s="114" t="s">
        <v>608</v>
      </c>
      <c r="C7" s="260"/>
      <c r="D7" s="260"/>
      <c r="E7" s="1209" t="str">
        <f>"Balance @ December 31, "&amp;'Historic TCOS'!O1&amp;""</f>
        <v>Balance @ December 31, 2014</v>
      </c>
      <c r="F7" s="1204" t="str">
        <f>"Balance @ December 31, "&amp;'Historic TCOS'!O1-1&amp;""</f>
        <v>Balance @ December 31, 2013</v>
      </c>
      <c r="G7" s="1204" t="str">
        <f>"Average Balance for "&amp;'Historic TCOS'!O1&amp;""</f>
        <v>Average Balance for 2014</v>
      </c>
      <c r="H7" s="260"/>
      <c r="I7" s="261"/>
    </row>
    <row r="8" spans="1:14" ht="26.25" customHeight="1">
      <c r="A8" s="114" t="s">
        <v>546</v>
      </c>
      <c r="C8" s="262" t="s">
        <v>363</v>
      </c>
      <c r="D8" s="262" t="s">
        <v>362</v>
      </c>
      <c r="E8" s="1205"/>
      <c r="F8" s="1205"/>
      <c r="G8" s="1205"/>
      <c r="H8" s="262"/>
      <c r="I8" s="262"/>
      <c r="K8"/>
      <c r="L8"/>
      <c r="M8"/>
      <c r="N8"/>
    </row>
    <row r="9" spans="1:14" s="244" customFormat="1" ht="12.75">
      <c r="A9" s="343"/>
      <c r="B9" s="343"/>
      <c r="C9" s="343"/>
      <c r="D9" s="343"/>
      <c r="F9" s="737"/>
      <c r="G9" s="237"/>
      <c r="H9" s="263"/>
      <c r="I9" s="134"/>
      <c r="J9" s="263"/>
      <c r="K9"/>
      <c r="L9"/>
      <c r="M9"/>
      <c r="N9"/>
    </row>
    <row r="10" spans="1:14" s="244" customFormat="1" ht="12.75">
      <c r="A10" s="557" t="s">
        <v>273</v>
      </c>
      <c r="B10" s="134"/>
      <c r="C10" s="134"/>
      <c r="D10" s="134"/>
      <c r="F10" s="473"/>
      <c r="G10" s="263"/>
      <c r="H10" s="263"/>
      <c r="I10" s="134"/>
      <c r="J10" s="263"/>
      <c r="K10"/>
      <c r="L10"/>
      <c r="M10"/>
      <c r="N10"/>
    </row>
    <row r="11" spans="1:14" s="244" customFormat="1" ht="12.75">
      <c r="A11" s="268" t="s">
        <v>203</v>
      </c>
      <c r="B11" s="134"/>
      <c r="C11" s="134"/>
      <c r="D11" s="134"/>
      <c r="F11" s="473"/>
      <c r="G11" s="263"/>
      <c r="H11" s="263"/>
      <c r="I11" s="134"/>
      <c r="J11" s="263"/>
      <c r="K11"/>
      <c r="L11"/>
      <c r="M11"/>
      <c r="N11"/>
    </row>
    <row r="12" spans="1:14" s="244" customFormat="1" ht="12.75">
      <c r="A12" s="268"/>
      <c r="B12" s="134"/>
      <c r="C12" s="134"/>
      <c r="D12" s="134"/>
      <c r="F12" s="473"/>
      <c r="G12" s="263"/>
      <c r="H12" s="263"/>
      <c r="I12" s="134"/>
      <c r="J12" s="263"/>
      <c r="K12"/>
      <c r="L12"/>
      <c r="M12"/>
      <c r="N12"/>
    </row>
    <row r="13" spans="1:14" s="244" customFormat="1" ht="12.75">
      <c r="A13" s="267" t="s">
        <v>270</v>
      </c>
      <c r="B13" s="134"/>
      <c r="C13" s="134"/>
      <c r="D13" s="134"/>
      <c r="E13" s="134"/>
      <c r="F13" s="263"/>
      <c r="G13" s="263"/>
      <c r="H13" s="263"/>
      <c r="I13" s="134"/>
      <c r="J13" s="263"/>
      <c r="K13"/>
      <c r="L13"/>
      <c r="M13"/>
      <c r="N13"/>
    </row>
    <row r="14" spans="1:21" ht="12.75" customHeight="1">
      <c r="A14" s="249"/>
      <c r="B14" s="229"/>
      <c r="C14" s="267"/>
      <c r="D14" s="239"/>
      <c r="E14" s="146"/>
      <c r="F14" s="244"/>
      <c r="G14" s="244"/>
      <c r="H14" s="244"/>
      <c r="I14" s="146"/>
      <c r="J14" s="301"/>
      <c r="K14"/>
      <c r="L14"/>
      <c r="M14"/>
      <c r="N14"/>
      <c r="O14" s="264"/>
      <c r="P14" s="264"/>
      <c r="Q14" s="264"/>
      <c r="R14" s="264"/>
      <c r="S14" s="264"/>
      <c r="T14" s="264"/>
      <c r="U14" s="264"/>
    </row>
    <row r="15" spans="1:14" ht="15">
      <c r="A15" s="249">
        <v>1</v>
      </c>
      <c r="B15" s="241"/>
      <c r="C15" s="1019" t="s">
        <v>877</v>
      </c>
      <c r="D15" s="238"/>
      <c r="E15" s="146"/>
      <c r="F15" s="244"/>
      <c r="G15" s="1020"/>
      <c r="H15" s="250"/>
      <c r="I15" s="236"/>
      <c r="J15" s="249"/>
      <c r="K15" s="237"/>
      <c r="L15" s="237"/>
      <c r="M15" s="237"/>
      <c r="N15" s="237"/>
    </row>
    <row r="16" spans="1:14" ht="12.75">
      <c r="A16" s="249"/>
      <c r="B16" s="241"/>
      <c r="C16" s="234"/>
      <c r="D16" s="238"/>
      <c r="E16" s="146"/>
      <c r="F16" s="244"/>
      <c r="G16" s="250"/>
      <c r="H16" s="250"/>
      <c r="I16" s="236"/>
      <c r="J16" s="249"/>
      <c r="K16" s="237"/>
      <c r="L16" s="237"/>
      <c r="M16" s="237"/>
      <c r="N16" s="237"/>
    </row>
    <row r="17" spans="1:14" ht="15">
      <c r="A17" s="249">
        <f>+A15+1</f>
        <v>2</v>
      </c>
      <c r="B17" s="241"/>
      <c r="C17" s="1019" t="s">
        <v>877</v>
      </c>
      <c r="D17" s="238"/>
      <c r="E17" s="146"/>
      <c r="F17" s="244"/>
      <c r="G17" s="1020"/>
      <c r="H17" s="250"/>
      <c r="I17" s="236"/>
      <c r="J17" s="249"/>
      <c r="K17" s="237"/>
      <c r="L17" s="237"/>
      <c r="M17" s="237"/>
      <c r="N17" s="237"/>
    </row>
    <row r="18" spans="1:14" ht="12.75">
      <c r="A18"/>
      <c r="B18"/>
      <c r="C18"/>
      <c r="E18"/>
      <c r="F18"/>
      <c r="G18"/>
      <c r="H18"/>
      <c r="I18"/>
      <c r="J18"/>
      <c r="K18"/>
      <c r="L18"/>
      <c r="M18" s="237"/>
      <c r="N18" s="237"/>
    </row>
    <row r="19" spans="1:14" ht="12.75">
      <c r="A19" s="249">
        <f>+A17+1</f>
        <v>3</v>
      </c>
      <c r="B19" s="244"/>
      <c r="C19" s="268" t="s">
        <v>678</v>
      </c>
      <c r="D19" s="238" t="s">
        <v>120</v>
      </c>
      <c r="E19" s="1095">
        <v>0</v>
      </c>
      <c r="F19" s="1095">
        <v>0</v>
      </c>
      <c r="G19" s="474">
        <f>IF(F19="",0,AVERAGE(E19:F19))</f>
        <v>0</v>
      </c>
      <c r="H19" s="146"/>
      <c r="I19" s="236"/>
      <c r="J19" s="249"/>
      <c r="K19" s="237"/>
      <c r="L19" s="237"/>
      <c r="M19" s="237"/>
      <c r="N19" s="237"/>
    </row>
    <row r="20" spans="1:14" ht="12.75">
      <c r="A20" s="249"/>
      <c r="B20" s="239"/>
      <c r="E20" s="242"/>
      <c r="F20" s="242"/>
      <c r="G20" s="242"/>
      <c r="H20" s="242"/>
      <c r="I20" s="236"/>
      <c r="J20" s="249"/>
      <c r="K20" s="237"/>
      <c r="L20" s="237"/>
      <c r="M20" s="237"/>
      <c r="N20" s="237"/>
    </row>
    <row r="21" spans="1:14" ht="12.75">
      <c r="A21" s="249">
        <f>+A19+1</f>
        <v>4</v>
      </c>
      <c r="B21" s="239"/>
      <c r="C21" s="234" t="s">
        <v>267</v>
      </c>
      <c r="D21" s="238" t="s">
        <v>121</v>
      </c>
      <c r="E21" s="1095">
        <v>0</v>
      </c>
      <c r="F21" s="1095">
        <v>0</v>
      </c>
      <c r="G21" s="474">
        <f>IF(F21="",0,AVERAGE(E21:F21))</f>
        <v>0</v>
      </c>
      <c r="H21" s="242"/>
      <c r="I21" s="236"/>
      <c r="J21" s="249"/>
      <c r="K21" s="237"/>
      <c r="L21" s="237"/>
      <c r="M21" s="237"/>
      <c r="N21" s="237"/>
    </row>
    <row r="22" spans="1:14" ht="12.75">
      <c r="A22" s="249"/>
      <c r="B22" s="241"/>
      <c r="C22" s="234"/>
      <c r="D22" s="239"/>
      <c r="E22" s="233"/>
      <c r="F22" s="233"/>
      <c r="G22" s="250"/>
      <c r="H22" s="250"/>
      <c r="I22" s="236"/>
      <c r="J22" s="249"/>
      <c r="K22" s="237"/>
      <c r="L22" s="237"/>
      <c r="M22" s="237"/>
      <c r="N22" s="237"/>
    </row>
    <row r="23" spans="1:14" ht="15">
      <c r="A23" s="249">
        <f>+A21+1</f>
        <v>5</v>
      </c>
      <c r="B23" s="241"/>
      <c r="C23" s="1019" t="s">
        <v>877</v>
      </c>
      <c r="D23" s="238"/>
      <c r="E23" s="233"/>
      <c r="F23" s="233"/>
      <c r="G23" s="1020"/>
      <c r="H23" s="250"/>
      <c r="I23" s="236"/>
      <c r="J23" s="249"/>
      <c r="K23" s="237"/>
      <c r="L23" s="237"/>
      <c r="M23" s="237"/>
      <c r="N23" s="237"/>
    </row>
    <row r="24" spans="1:14" ht="12.75">
      <c r="A24" s="249"/>
      <c r="B24" s="241"/>
      <c r="C24" s="234"/>
      <c r="D24" s="238"/>
      <c r="E24" s="233"/>
      <c r="F24" s="233"/>
      <c r="G24" s="250"/>
      <c r="H24" s="250"/>
      <c r="I24" s="236"/>
      <c r="J24" s="249"/>
      <c r="K24" s="237"/>
      <c r="L24" s="237"/>
      <c r="M24" s="237"/>
      <c r="N24" s="237"/>
    </row>
    <row r="25" spans="1:14" ht="15">
      <c r="A25" s="249">
        <f>+A23+1</f>
        <v>6</v>
      </c>
      <c r="B25" s="241"/>
      <c r="C25" s="1019" t="s">
        <v>877</v>
      </c>
      <c r="D25" s="238"/>
      <c r="E25" s="233"/>
      <c r="F25" s="233"/>
      <c r="G25" s="1020"/>
      <c r="H25" s="250"/>
      <c r="I25" s="236"/>
      <c r="J25" s="249"/>
      <c r="K25" s="237"/>
      <c r="L25" s="237"/>
      <c r="M25" s="237"/>
      <c r="N25" s="237"/>
    </row>
    <row r="26" spans="1:14" ht="12.75">
      <c r="A26" s="249"/>
      <c r="B26" s="241"/>
      <c r="C26" s="234"/>
      <c r="D26" s="239"/>
      <c r="E26" s="233"/>
      <c r="F26" s="233"/>
      <c r="G26" s="250"/>
      <c r="H26" s="250"/>
      <c r="I26" s="236"/>
      <c r="J26" s="249"/>
      <c r="K26" s="237"/>
      <c r="L26" s="237"/>
      <c r="M26" s="237"/>
      <c r="N26" s="237"/>
    </row>
    <row r="27" spans="1:14" ht="12.75">
      <c r="A27" s="249">
        <f>+A25+1</f>
        <v>7</v>
      </c>
      <c r="B27" s="241"/>
      <c r="C27" s="268" t="s">
        <v>680</v>
      </c>
      <c r="D27" s="238" t="s">
        <v>135</v>
      </c>
      <c r="E27" s="1095">
        <v>0</v>
      </c>
      <c r="F27" s="1095">
        <v>0</v>
      </c>
      <c r="G27" s="474">
        <f>IF(F27="",0,AVERAGE(E27:F27))</f>
        <v>0</v>
      </c>
      <c r="H27" s="250"/>
      <c r="I27" s="236"/>
      <c r="J27" s="249"/>
      <c r="K27" s="237"/>
      <c r="L27" s="237"/>
      <c r="M27" s="237"/>
      <c r="N27" s="237"/>
    </row>
    <row r="28" spans="1:14" ht="12.75">
      <c r="A28" s="249"/>
      <c r="B28" s="241"/>
      <c r="C28" s="234"/>
      <c r="D28" s="238"/>
      <c r="E28" s="233"/>
      <c r="F28" s="233"/>
      <c r="G28" s="250"/>
      <c r="H28" s="250"/>
      <c r="I28" s="236"/>
      <c r="J28" s="249"/>
      <c r="K28" s="237"/>
      <c r="L28" s="237"/>
      <c r="M28" s="237"/>
      <c r="N28" s="237"/>
    </row>
    <row r="29" spans="1:14" ht="12.75">
      <c r="A29" s="249">
        <f>+A27+1</f>
        <v>8</v>
      </c>
      <c r="B29" s="241"/>
      <c r="C29" s="234" t="s">
        <v>985</v>
      </c>
      <c r="D29" s="238" t="s">
        <v>136</v>
      </c>
      <c r="E29" s="1095">
        <v>0</v>
      </c>
      <c r="F29" s="1095">
        <v>0</v>
      </c>
      <c r="G29" s="474">
        <f>IF(F29="",0,AVERAGE(E29:F29))</f>
        <v>0</v>
      </c>
      <c r="H29" s="250"/>
      <c r="I29" s="236"/>
      <c r="J29" s="249"/>
      <c r="K29" s="237"/>
      <c r="L29" s="237"/>
      <c r="M29" s="237"/>
      <c r="N29" s="237"/>
    </row>
    <row r="30" spans="1:14" ht="12.75">
      <c r="A30" s="249"/>
      <c r="B30" s="241"/>
      <c r="C30" s="234"/>
      <c r="D30" s="239"/>
      <c r="E30" s="233"/>
      <c r="F30" s="233"/>
      <c r="G30" s="250"/>
      <c r="H30" s="250"/>
      <c r="I30" s="236"/>
      <c r="J30" s="249"/>
      <c r="K30" s="237"/>
      <c r="L30" s="237"/>
      <c r="M30" s="237"/>
      <c r="N30" s="237"/>
    </row>
    <row r="31" spans="1:14" ht="12.75">
      <c r="A31" s="249">
        <f>+A29+1</f>
        <v>9</v>
      </c>
      <c r="B31" s="241"/>
      <c r="C31" s="268" t="s">
        <v>679</v>
      </c>
      <c r="D31" s="238" t="s">
        <v>137</v>
      </c>
      <c r="E31" s="1095">
        <v>0</v>
      </c>
      <c r="F31" s="1095">
        <v>0</v>
      </c>
      <c r="G31" s="474">
        <f>IF(F31="",0,AVERAGE(E31:F31))</f>
        <v>0</v>
      </c>
      <c r="H31" s="250"/>
      <c r="I31" s="236"/>
      <c r="J31" s="249"/>
      <c r="K31" s="237"/>
      <c r="L31" s="237"/>
      <c r="M31" s="237"/>
      <c r="N31" s="237"/>
    </row>
    <row r="32" spans="1:14" ht="12.75">
      <c r="A32" s="249"/>
      <c r="B32" s="241"/>
      <c r="C32" s="234"/>
      <c r="D32" s="238"/>
      <c r="E32" s="233"/>
      <c r="F32" s="233"/>
      <c r="G32" s="250"/>
      <c r="H32" s="250"/>
      <c r="I32" s="236"/>
      <c r="J32" s="249"/>
      <c r="K32" s="237"/>
      <c r="L32" s="237"/>
      <c r="M32" s="237"/>
      <c r="N32" s="237"/>
    </row>
    <row r="33" spans="1:14" ht="12.75">
      <c r="A33" s="249">
        <f>+A31+1</f>
        <v>10</v>
      </c>
      <c r="B33" s="241"/>
      <c r="C33" s="234" t="s">
        <v>986</v>
      </c>
      <c r="D33" s="238" t="str">
        <f>"(Sum of Lines: "&amp;A19&amp;", "&amp;A27&amp;", "&amp;A31&amp;")"</f>
        <v>(Sum of Lines: 3, 7, 9)</v>
      </c>
      <c r="E33" s="281">
        <f>+E19+E15+E23+E27+E31</f>
        <v>0</v>
      </c>
      <c r="F33" s="281">
        <f>+F19+F15+F23+F27+F31</f>
        <v>0</v>
      </c>
      <c r="G33" s="281">
        <f>+G19+G15+G23+G27+G31</f>
        <v>0</v>
      </c>
      <c r="H33"/>
      <c r="I33" s="236"/>
      <c r="J33" s="249"/>
      <c r="K33" s="237"/>
      <c r="L33" s="237"/>
      <c r="M33" s="237"/>
      <c r="N33" s="237"/>
    </row>
    <row r="34" spans="1:14" ht="12.75">
      <c r="A34" s="249"/>
      <c r="B34" s="241"/>
      <c r="C34" s="234"/>
      <c r="D34" s="239"/>
      <c r="E34" s="233"/>
      <c r="F34" s="233"/>
      <c r="G34" s="233"/>
      <c r="H34" s="250"/>
      <c r="I34" s="236"/>
      <c r="J34" s="249"/>
      <c r="K34" s="237"/>
      <c r="L34" s="237"/>
      <c r="M34" s="237"/>
      <c r="N34" s="237"/>
    </row>
    <row r="35" spans="1:14" ht="12.75">
      <c r="A35" s="249">
        <f>+A33+1</f>
        <v>11</v>
      </c>
      <c r="B35" s="241"/>
      <c r="C35" s="234" t="str">
        <f>"Total ARO Balance (included in total on line "&amp;A33&amp;")"</f>
        <v>Total ARO Balance (included in total on line 10)</v>
      </c>
      <c r="D35" s="238" t="str">
        <f>"(Sum of Lines: "&amp;A21&amp;", "&amp;A29&amp;")"</f>
        <v>(Sum of Lines: 4, 8)</v>
      </c>
      <c r="E35" s="281">
        <f>+E21+E17+E25+E29</f>
        <v>0</v>
      </c>
      <c r="F35" s="281">
        <f>+F21+F17+F25+F29</f>
        <v>0</v>
      </c>
      <c r="G35" s="281">
        <f>+G21+G17+G25+G29</f>
        <v>0</v>
      </c>
      <c r="H35" s="250"/>
      <c r="I35" s="236"/>
      <c r="J35" s="249"/>
      <c r="K35" s="237"/>
      <c r="L35" s="237"/>
      <c r="M35" s="237"/>
      <c r="N35" s="237"/>
    </row>
    <row r="36" spans="1:14" ht="12.75">
      <c r="A36" s="249"/>
      <c r="B36" s="241"/>
      <c r="C36" s="234"/>
      <c r="D36" s="239"/>
      <c r="E36" s="233"/>
      <c r="F36" s="233"/>
      <c r="G36" s="250"/>
      <c r="H36" s="250"/>
      <c r="I36" s="236"/>
      <c r="J36" s="249"/>
      <c r="K36" s="237"/>
      <c r="L36" s="237"/>
      <c r="M36" s="237"/>
      <c r="N36" s="237"/>
    </row>
    <row r="37" spans="1:14" ht="12.75">
      <c r="A37" s="267" t="s">
        <v>990</v>
      </c>
      <c r="B37" s="241"/>
      <c r="C37" s="234"/>
      <c r="D37" s="239"/>
      <c r="E37" s="616"/>
      <c r="F37" s="616"/>
      <c r="G37" s="250"/>
      <c r="H37" s="250"/>
      <c r="I37" s="236"/>
      <c r="J37" s="249"/>
      <c r="K37" s="237"/>
      <c r="L37" s="237"/>
      <c r="M37" s="237"/>
      <c r="N37" s="237"/>
    </row>
    <row r="38" spans="1:14" ht="12.75">
      <c r="A38" s="249"/>
      <c r="B38" s="241"/>
      <c r="C38" s="234"/>
      <c r="D38" s="239"/>
      <c r="E38" s="616"/>
      <c r="F38" s="616"/>
      <c r="G38" s="250"/>
      <c r="H38" s="250"/>
      <c r="I38" s="236"/>
      <c r="J38" s="249"/>
      <c r="K38" s="237"/>
      <c r="L38" s="237"/>
      <c r="M38" s="237"/>
      <c r="N38" s="237"/>
    </row>
    <row r="39" spans="1:14" ht="12.75" customHeight="1">
      <c r="A39" s="249">
        <f>+A35+1</f>
        <v>12</v>
      </c>
      <c r="B39" s="241"/>
      <c r="C39" s="1019" t="s">
        <v>877</v>
      </c>
      <c r="D39" s="238"/>
      <c r="E39" s="616"/>
      <c r="F39" s="616"/>
      <c r="G39" s="1020"/>
      <c r="H39" s="239"/>
      <c r="I39" s="249"/>
      <c r="J39" s="239"/>
      <c r="K39" s="237"/>
      <c r="L39" s="237"/>
      <c r="M39" s="237"/>
      <c r="N39" s="237"/>
    </row>
    <row r="40" spans="1:14" ht="12.75" customHeight="1">
      <c r="A40" s="249"/>
      <c r="B40" s="241"/>
      <c r="C40" s="234"/>
      <c r="D40" s="238"/>
      <c r="E40" s="616"/>
      <c r="F40" s="616"/>
      <c r="G40" s="250"/>
      <c r="H40" s="250"/>
      <c r="I40" s="252"/>
      <c r="J40" s="251"/>
      <c r="K40" s="237"/>
      <c r="L40" s="237"/>
      <c r="M40" s="237"/>
      <c r="N40" s="237"/>
    </row>
    <row r="41" spans="1:14" ht="12.75" customHeight="1">
      <c r="A41" s="249">
        <f>+A39+1</f>
        <v>13</v>
      </c>
      <c r="B41" s="241"/>
      <c r="C41" s="1019" t="s">
        <v>877</v>
      </c>
      <c r="D41" s="238"/>
      <c r="E41" s="616"/>
      <c r="F41" s="616"/>
      <c r="G41" s="1020"/>
      <c r="H41" s="265"/>
      <c r="I41" s="252"/>
      <c r="J41" s="239"/>
      <c r="K41" s="230"/>
      <c r="L41" s="230"/>
      <c r="M41" s="230"/>
      <c r="N41" s="230"/>
    </row>
    <row r="42" spans="1:14" ht="12.75" customHeight="1">
      <c r="A42" s="249"/>
      <c r="B42" s="241"/>
      <c r="C42" s="234"/>
      <c r="D42" s="239"/>
      <c r="E42" s="233"/>
      <c r="F42" s="233"/>
      <c r="G42"/>
      <c r="H42" s="266"/>
      <c r="I42" s="235"/>
      <c r="J42" s="239"/>
      <c r="K42" s="237"/>
      <c r="L42" s="237"/>
      <c r="M42" s="237"/>
      <c r="N42" s="237"/>
    </row>
    <row r="43" spans="1:14" ht="12.75" customHeight="1">
      <c r="A43" s="249">
        <f>+A41+1</f>
        <v>14</v>
      </c>
      <c r="B43" s="244"/>
      <c r="C43" s="268" t="s">
        <v>681</v>
      </c>
      <c r="D43" s="238" t="s">
        <v>6</v>
      </c>
      <c r="E43" s="1095">
        <v>0</v>
      </c>
      <c r="F43" s="1095">
        <v>0</v>
      </c>
      <c r="G43" s="474">
        <f>IF(F43="",0,AVERAGE(E43:F43))</f>
        <v>0</v>
      </c>
      <c r="H43" s="250"/>
      <c r="I43" s="236"/>
      <c r="J43" s="239"/>
      <c r="K43" s="237"/>
      <c r="L43" s="237"/>
      <c r="M43" s="237"/>
      <c r="N43" s="237"/>
    </row>
    <row r="44" spans="1:14" ht="12.75" customHeight="1">
      <c r="A44" s="249"/>
      <c r="B44" s="239"/>
      <c r="D44" s="238"/>
      <c r="E44" s="242"/>
      <c r="F44" s="242"/>
      <c r="G44" s="242"/>
      <c r="H44" s="250"/>
      <c r="I44" s="236"/>
      <c r="J44" s="239"/>
      <c r="K44" s="237"/>
      <c r="L44" s="237"/>
      <c r="M44" s="237"/>
      <c r="N44" s="237"/>
    </row>
    <row r="45" spans="1:14" ht="12.75" customHeight="1">
      <c r="A45" s="249">
        <f>+A43+1</f>
        <v>15</v>
      </c>
      <c r="B45" s="239"/>
      <c r="C45" s="234" t="s">
        <v>989</v>
      </c>
      <c r="D45" s="238" t="s">
        <v>371</v>
      </c>
      <c r="E45" s="1095">
        <v>0</v>
      </c>
      <c r="F45" s="1095">
        <v>0</v>
      </c>
      <c r="G45" s="474">
        <f>IF(F45="",0,AVERAGE(E45:F45))</f>
        <v>0</v>
      </c>
      <c r="H45" s="250"/>
      <c r="I45" s="236"/>
      <c r="J45" s="239"/>
      <c r="K45" s="237"/>
      <c r="L45" s="237"/>
      <c r="M45" s="237"/>
      <c r="N45" s="237"/>
    </row>
    <row r="46" spans="1:14" ht="12.75" customHeight="1">
      <c r="A46" s="249"/>
      <c r="B46" s="241"/>
      <c r="C46" s="234"/>
      <c r="D46" s="239"/>
      <c r="E46" s="233"/>
      <c r="F46" s="233"/>
      <c r="G46" s="250"/>
      <c r="H46" s="266"/>
      <c r="I46" s="235"/>
      <c r="J46" s="239"/>
      <c r="K46" s="237"/>
      <c r="L46" s="237"/>
      <c r="M46" s="237"/>
      <c r="N46" s="237"/>
    </row>
    <row r="47" spans="1:14" ht="12.75" customHeight="1">
      <c r="A47" s="249">
        <f>+A45+1</f>
        <v>16</v>
      </c>
      <c r="B47" s="241"/>
      <c r="C47" s="1019" t="s">
        <v>877</v>
      </c>
      <c r="D47" s="238"/>
      <c r="E47" s="233"/>
      <c r="F47" s="233"/>
      <c r="G47" s="1020"/>
      <c r="H47" s="266"/>
      <c r="I47" s="235"/>
      <c r="J47" s="239"/>
      <c r="K47" s="237"/>
      <c r="L47" s="237"/>
      <c r="M47" s="237"/>
      <c r="N47" s="237"/>
    </row>
    <row r="48" spans="1:14" ht="12.75" customHeight="1">
      <c r="A48" s="249"/>
      <c r="B48" s="241"/>
      <c r="C48" s="234"/>
      <c r="D48" s="238"/>
      <c r="E48" s="233"/>
      <c r="F48" s="233"/>
      <c r="G48" s="250"/>
      <c r="H48" s="266"/>
      <c r="I48" s="235"/>
      <c r="J48" s="239"/>
      <c r="K48" s="237"/>
      <c r="L48" s="237"/>
      <c r="M48" s="237"/>
      <c r="N48" s="237"/>
    </row>
    <row r="49" spans="1:14" ht="12.75" customHeight="1">
      <c r="A49" s="249">
        <f>+A47+1</f>
        <v>17</v>
      </c>
      <c r="B49" s="241"/>
      <c r="C49" s="1019" t="s">
        <v>877</v>
      </c>
      <c r="D49" s="238"/>
      <c r="E49" s="233"/>
      <c r="F49" s="233"/>
      <c r="G49" s="1020"/>
      <c r="H49" s="250"/>
      <c r="I49" s="236"/>
      <c r="J49" s="249"/>
      <c r="K49" s="237"/>
      <c r="L49" s="237"/>
      <c r="M49" s="237"/>
      <c r="N49" s="237"/>
    </row>
    <row r="50" spans="1:14" ht="12.75" customHeight="1">
      <c r="A50" s="249"/>
      <c r="B50" s="241"/>
      <c r="C50" s="234"/>
      <c r="D50" s="239"/>
      <c r="E50" s="233"/>
      <c r="F50" s="233"/>
      <c r="G50" s="250"/>
      <c r="H50" s="239"/>
      <c r="I50" s="249"/>
      <c r="J50" s="249"/>
      <c r="K50" s="237"/>
      <c r="L50" s="237"/>
      <c r="M50" s="237"/>
      <c r="N50" s="237"/>
    </row>
    <row r="51" spans="1:14" ht="12.75" customHeight="1">
      <c r="A51" s="249">
        <f>+A49+1</f>
        <v>18</v>
      </c>
      <c r="B51" s="241"/>
      <c r="C51" s="268" t="s">
        <v>987</v>
      </c>
      <c r="D51" s="238" t="s">
        <v>307</v>
      </c>
      <c r="E51" s="1095">
        <v>0</v>
      </c>
      <c r="F51" s="1095">
        <v>0</v>
      </c>
      <c r="G51" s="474">
        <f>IF(F51="",0,AVERAGE(E51:F51))</f>
        <v>0</v>
      </c>
      <c r="H51" s="250"/>
      <c r="I51" s="252"/>
      <c r="J51" s="249"/>
      <c r="K51" s="237"/>
      <c r="L51" s="237"/>
      <c r="M51" s="237"/>
      <c r="N51" s="237"/>
    </row>
    <row r="52" spans="1:14" ht="12.75" customHeight="1">
      <c r="A52" s="249"/>
      <c r="B52" s="241"/>
      <c r="C52" s="234"/>
      <c r="D52" s="238"/>
      <c r="E52" s="233"/>
      <c r="F52" s="233"/>
      <c r="G52" s="250"/>
      <c r="H52" s="265"/>
      <c r="I52" s="252"/>
      <c r="J52" s="249"/>
      <c r="K52" s="237"/>
      <c r="L52" s="237"/>
      <c r="M52" s="237"/>
      <c r="N52" s="237"/>
    </row>
    <row r="53" spans="1:14" ht="12.75" customHeight="1">
      <c r="A53" s="249">
        <f>+A51+1</f>
        <v>19</v>
      </c>
      <c r="B53" s="241"/>
      <c r="C53" s="234" t="s">
        <v>988</v>
      </c>
      <c r="D53" s="238" t="s">
        <v>371</v>
      </c>
      <c r="E53" s="1095">
        <v>0</v>
      </c>
      <c r="F53" s="1095">
        <v>0</v>
      </c>
      <c r="G53" s="474">
        <f>IF(F53="",0,AVERAGE(E53:F53))</f>
        <v>0</v>
      </c>
      <c r="H53" s="266"/>
      <c r="I53" s="251"/>
      <c r="J53" s="249"/>
      <c r="K53" s="237"/>
      <c r="L53" s="237"/>
      <c r="M53" s="237"/>
      <c r="N53" s="237"/>
    </row>
    <row r="54" spans="1:14" ht="12.75" customHeight="1">
      <c r="A54" s="249"/>
      <c r="B54" s="241"/>
      <c r="C54" s="234"/>
      <c r="D54" s="239"/>
      <c r="E54" s="233"/>
      <c r="F54" s="233"/>
      <c r="G54" s="250"/>
      <c r="H54" s="266"/>
      <c r="I54" s="251"/>
      <c r="J54" s="249"/>
      <c r="K54" s="237"/>
      <c r="L54" s="237"/>
      <c r="M54" s="237"/>
      <c r="N54" s="237"/>
    </row>
    <row r="55" spans="1:14" ht="12.75" customHeight="1">
      <c r="A55" s="249">
        <f>+A53+1</f>
        <v>20</v>
      </c>
      <c r="B55" s="241"/>
      <c r="C55" s="268" t="s">
        <v>991</v>
      </c>
      <c r="D55" s="238" t="s">
        <v>296</v>
      </c>
      <c r="E55" s="1095">
        <v>0</v>
      </c>
      <c r="F55" s="1095">
        <v>0</v>
      </c>
      <c r="G55" s="474">
        <f>IF(F55="",0,AVERAGE(E55:F55))</f>
        <v>0</v>
      </c>
      <c r="H55" s="266"/>
      <c r="I55" s="235"/>
      <c r="J55" s="249"/>
      <c r="K55" s="237"/>
      <c r="L55" s="237"/>
      <c r="M55" s="237"/>
      <c r="N55" s="237"/>
    </row>
    <row r="56" spans="1:14" ht="12.75" customHeight="1">
      <c r="A56" s="249"/>
      <c r="B56" s="241"/>
      <c r="C56" s="234"/>
      <c r="D56" s="238"/>
      <c r="E56" s="233"/>
      <c r="F56" s="233"/>
      <c r="G56" s="250"/>
      <c r="H56" s="266"/>
      <c r="I56" s="235"/>
      <c r="J56" s="249"/>
      <c r="K56" s="237"/>
      <c r="L56" s="237"/>
      <c r="M56" s="237"/>
      <c r="N56" s="237"/>
    </row>
    <row r="57" spans="1:14" ht="12.75" customHeight="1">
      <c r="A57" s="249">
        <f>+A55+1</f>
        <v>21</v>
      </c>
      <c r="B57" s="241"/>
      <c r="C57" s="234" t="s">
        <v>992</v>
      </c>
      <c r="D57" s="238" t="str">
        <f>"(Sum of Lines: "&amp;A43&amp;", "&amp;A51&amp;", "&amp;A55&amp;")"</f>
        <v>(Sum of Lines: 14, 18, 20)</v>
      </c>
      <c r="E57" s="281">
        <f>+E43+E39+E47+E51+E55</f>
        <v>0</v>
      </c>
      <c r="F57" s="281">
        <f>+F43+F39+F47+F51+F55</f>
        <v>0</v>
      </c>
      <c r="G57" s="281">
        <f>+G43+G39+G47+G51+G55</f>
        <v>0</v>
      </c>
      <c r="H57" s="239"/>
      <c r="I57" s="249"/>
      <c r="J57" s="239"/>
      <c r="K57" s="237"/>
      <c r="L57" s="237"/>
      <c r="M57" s="237"/>
      <c r="N57" s="237"/>
    </row>
    <row r="58" spans="1:14" ht="12.75" customHeight="1">
      <c r="A58" s="249"/>
      <c r="B58" s="241"/>
      <c r="C58" s="234"/>
      <c r="D58" s="239"/>
      <c r="E58" s="233"/>
      <c r="F58" s="233"/>
      <c r="G58" s="233"/>
      <c r="H58" s="250"/>
      <c r="I58" s="252"/>
      <c r="J58" s="244"/>
      <c r="K58" s="237"/>
      <c r="L58" s="237"/>
      <c r="M58" s="237"/>
      <c r="N58" s="237"/>
    </row>
    <row r="59" spans="1:14" ht="12.75" customHeight="1">
      <c r="A59" s="249">
        <f>+A57+1</f>
        <v>22</v>
      </c>
      <c r="B59" s="241"/>
      <c r="C59" s="234" t="str">
        <f>"Total ARO Balance (included in total on line "&amp;A57&amp;")"</f>
        <v>Total ARO Balance (included in total on line 21)</v>
      </c>
      <c r="D59" s="238" t="str">
        <f>"(Sum of Lines: "&amp;A45&amp;", "&amp;A53&amp;")"</f>
        <v>(Sum of Lines: 15, 19)</v>
      </c>
      <c r="E59" s="281">
        <f>+E45+E41+E49+E53</f>
        <v>0</v>
      </c>
      <c r="F59" s="281">
        <f>+F45+F41+F49+F53</f>
        <v>0</v>
      </c>
      <c r="G59" s="281">
        <f>+G45+G41+G49+G53</f>
        <v>0</v>
      </c>
      <c r="H59" s="265"/>
      <c r="I59" s="252"/>
      <c r="J59" s="239"/>
      <c r="K59" s="230"/>
      <c r="L59" s="230"/>
      <c r="M59" s="230"/>
      <c r="N59" s="230"/>
    </row>
    <row r="60" spans="1:14" ht="12.75" customHeight="1">
      <c r="A60" s="249"/>
      <c r="B60" s="241"/>
      <c r="C60" s="234"/>
      <c r="D60" s="238"/>
      <c r="E60" s="475"/>
      <c r="F60" s="475"/>
      <c r="G60" s="250"/>
      <c r="H60" s="265"/>
      <c r="I60" s="252"/>
      <c r="J60" s="239"/>
      <c r="K60" s="230"/>
      <c r="L60" s="230"/>
      <c r="M60" s="230"/>
      <c r="N60" s="230"/>
    </row>
    <row r="61" spans="1:14" ht="12.75" customHeight="1">
      <c r="A61" s="267" t="s">
        <v>993</v>
      </c>
      <c r="B61" s="241"/>
      <c r="C61" s="234"/>
      <c r="D61" s="238"/>
      <c r="E61" s="475"/>
      <c r="F61" s="475"/>
      <c r="G61" s="250"/>
      <c r="H61" s="265"/>
      <c r="I61" s="252"/>
      <c r="J61" s="239"/>
      <c r="K61" s="230"/>
      <c r="L61" s="230"/>
      <c r="M61" s="230"/>
      <c r="N61" s="230"/>
    </row>
    <row r="62" spans="1:14" ht="12.75" customHeight="1">
      <c r="A62" s="249"/>
      <c r="B62" s="241"/>
      <c r="C62" s="234"/>
      <c r="D62" s="238"/>
      <c r="E62" s="475"/>
      <c r="F62" s="475"/>
      <c r="G62" s="250"/>
      <c r="H62" s="265"/>
      <c r="I62" s="252"/>
      <c r="J62" s="239"/>
      <c r="K62" s="230"/>
      <c r="L62" s="230"/>
      <c r="M62" s="230"/>
      <c r="N62" s="230"/>
    </row>
    <row r="63" spans="1:14" ht="12.75" customHeight="1">
      <c r="A63" s="249">
        <f>+A59+1</f>
        <v>23</v>
      </c>
      <c r="B63" s="241"/>
      <c r="C63" s="234" t="s">
        <v>994</v>
      </c>
      <c r="D63" s="238" t="s">
        <v>371</v>
      </c>
      <c r="E63" s="1095">
        <v>0</v>
      </c>
      <c r="F63" s="1095">
        <v>0</v>
      </c>
      <c r="G63" s="474">
        <f>IF(F63="",0,AVERAGE(E63:F63))</f>
        <v>0</v>
      </c>
      <c r="H63" s="265"/>
      <c r="I63" s="252"/>
      <c r="J63" s="239"/>
      <c r="K63" s="230"/>
      <c r="L63" s="230"/>
      <c r="M63" s="230"/>
      <c r="N63" s="230"/>
    </row>
    <row r="64" spans="1:14" ht="12.75" customHeight="1">
      <c r="A64" s="249"/>
      <c r="B64" s="241"/>
      <c r="C64" s="234"/>
      <c r="D64" s="238"/>
      <c r="E64" s="233"/>
      <c r="F64" s="233"/>
      <c r="G64" s="474"/>
      <c r="H64" s="265"/>
      <c r="I64" s="252"/>
      <c r="J64" s="239"/>
      <c r="K64" s="230"/>
      <c r="L64" s="230"/>
      <c r="M64" s="230"/>
      <c r="N64" s="230"/>
    </row>
    <row r="65" spans="1:14" ht="12.75" customHeight="1">
      <c r="A65" s="249">
        <f>+A63+1</f>
        <v>24</v>
      </c>
      <c r="B65" s="241"/>
      <c r="C65" s="234" t="s">
        <v>995</v>
      </c>
      <c r="D65" s="238" t="s">
        <v>371</v>
      </c>
      <c r="E65" s="1095">
        <v>0</v>
      </c>
      <c r="F65" s="1095">
        <v>0</v>
      </c>
      <c r="G65" s="474">
        <f>IF(F65="",0,AVERAGE(E65:F65))</f>
        <v>0</v>
      </c>
      <c r="H65" s="265"/>
      <c r="I65" s="252"/>
      <c r="J65" s="239"/>
      <c r="K65" s="230"/>
      <c r="L65" s="230"/>
      <c r="M65" s="230"/>
      <c r="N65" s="230"/>
    </row>
    <row r="66" spans="1:14" ht="12.75" customHeight="1">
      <c r="A66" s="249"/>
      <c r="B66" s="241"/>
      <c r="C66" s="234"/>
      <c r="D66" s="238"/>
      <c r="E66" s="475"/>
      <c r="F66" s="475"/>
      <c r="G66" s="250"/>
      <c r="H66" s="265"/>
      <c r="I66" s="252"/>
      <c r="J66" s="239"/>
      <c r="K66" s="230"/>
      <c r="L66" s="230"/>
      <c r="M66" s="230"/>
      <c r="N66" s="230"/>
    </row>
    <row r="67" spans="1:14" ht="12.75" customHeight="1">
      <c r="A67" s="249">
        <f>+A65+1</f>
        <v>25</v>
      </c>
      <c r="B67" s="241"/>
      <c r="C67" s="234" t="s">
        <v>1025</v>
      </c>
      <c r="D67" s="238" t="str">
        <f>"(Line "&amp;A63&amp;" - Line  "&amp;A65&amp;")"</f>
        <v>(Line 23 - Line  24)</v>
      </c>
      <c r="E67" s="281">
        <f>+E63-E65</f>
        <v>0</v>
      </c>
      <c r="F67" s="281">
        <f>+F63-F65</f>
        <v>0</v>
      </c>
      <c r="G67" s="281">
        <f>+G63-G65</f>
        <v>0</v>
      </c>
      <c r="H67" s="265"/>
      <c r="I67" s="252"/>
      <c r="J67" s="239"/>
      <c r="K67" s="230"/>
      <c r="L67" s="230"/>
      <c r="M67" s="230"/>
      <c r="N67" s="230"/>
    </row>
    <row r="68" spans="1:14" ht="12.75" customHeight="1">
      <c r="A68" s="249"/>
      <c r="B68" s="241"/>
      <c r="C68" s="234"/>
      <c r="D68" s="238"/>
      <c r="E68" s="227"/>
      <c r="F68" s="227"/>
      <c r="G68" s="227"/>
      <c r="H68" s="265"/>
      <c r="I68" s="252"/>
      <c r="J68" s="239"/>
      <c r="K68" s="230"/>
      <c r="L68" s="230"/>
      <c r="M68" s="230"/>
      <c r="N68" s="230"/>
    </row>
    <row r="69" spans="1:14" ht="12.75" customHeight="1">
      <c r="A69" s="240" t="s">
        <v>303</v>
      </c>
      <c r="B69" s="241"/>
      <c r="C69" s="234"/>
      <c r="D69" s="238"/>
      <c r="E69" s="227"/>
      <c r="F69" s="227"/>
      <c r="G69" s="227"/>
      <c r="H69" s="265"/>
      <c r="I69" s="252"/>
      <c r="J69" s="239"/>
      <c r="K69" s="230"/>
      <c r="L69" s="230"/>
      <c r="M69" s="230"/>
      <c r="N69" s="230"/>
    </row>
    <row r="70" spans="1:14" ht="12.75" customHeight="1">
      <c r="A70" s="240"/>
      <c r="B70" s="241"/>
      <c r="C70" s="234"/>
      <c r="D70" s="238"/>
      <c r="E70" s="227"/>
      <c r="F70" s="227"/>
      <c r="G70" s="227"/>
      <c r="H70" s="265"/>
      <c r="I70" s="252"/>
      <c r="J70" s="239"/>
      <c r="K70" s="230"/>
      <c r="L70" s="230"/>
      <c r="M70" s="230"/>
      <c r="N70" s="230"/>
    </row>
    <row r="71" spans="1:14" ht="12.75" customHeight="1">
      <c r="A71" s="249">
        <f>+A67+1</f>
        <v>26</v>
      </c>
      <c r="B71" s="241"/>
      <c r="C71" s="234" t="s">
        <v>681</v>
      </c>
      <c r="D71" s="238" t="str">
        <f>"(Line "&amp;A43&amp;" Above)"</f>
        <v>(Line 14 Above)</v>
      </c>
      <c r="E71" s="227">
        <f>+E43</f>
        <v>0</v>
      </c>
      <c r="F71" s="227">
        <f>+F43</f>
        <v>0</v>
      </c>
      <c r="G71" s="474">
        <f>IF(F71="",0,AVERAGE(E71:F71))</f>
        <v>0</v>
      </c>
      <c r="H71" s="265"/>
      <c r="I71" s="252"/>
      <c r="J71" s="239"/>
      <c r="K71" s="230"/>
      <c r="L71" s="230"/>
      <c r="M71" s="230"/>
      <c r="N71" s="230"/>
    </row>
    <row r="72" spans="1:14" ht="12.75" customHeight="1">
      <c r="A72" s="249"/>
      <c r="B72" s="241"/>
      <c r="C72" s="234"/>
      <c r="D72" s="238"/>
      <c r="E72" s="227"/>
      <c r="F72" s="227"/>
      <c r="G72" s="474"/>
      <c r="H72" s="265"/>
      <c r="I72" s="252"/>
      <c r="J72" s="239"/>
      <c r="K72" s="230"/>
      <c r="L72" s="230"/>
      <c r="M72" s="230"/>
      <c r="N72" s="230"/>
    </row>
    <row r="73" spans="1:14" ht="12.75" customHeight="1">
      <c r="A73" s="249">
        <f>+A71+1</f>
        <v>27</v>
      </c>
      <c r="B73" s="241"/>
      <c r="C73" s="234" t="s">
        <v>305</v>
      </c>
      <c r="D73" s="238" t="str">
        <f>"(Line "&amp;A65&amp;" Above)"</f>
        <v>(Line 24 Above)</v>
      </c>
      <c r="E73" s="475">
        <f>+E65</f>
        <v>0</v>
      </c>
      <c r="F73" s="475">
        <f>+F65</f>
        <v>0</v>
      </c>
      <c r="G73" s="474">
        <f>IF(F73="",0,AVERAGE(E73:F73))</f>
        <v>0</v>
      </c>
      <c r="H73" s="265"/>
      <c r="I73" s="252"/>
      <c r="J73" s="239"/>
      <c r="K73" s="230"/>
      <c r="L73" s="230"/>
      <c r="M73" s="230"/>
      <c r="N73" s="230"/>
    </row>
    <row r="74" spans="1:14" ht="12.75" customHeight="1">
      <c r="A74" s="249"/>
      <c r="B74" s="241"/>
      <c r="C74" s="234"/>
      <c r="D74" s="238"/>
      <c r="E74" s="475"/>
      <c r="F74" s="475"/>
      <c r="G74" s="250"/>
      <c r="H74" s="265"/>
      <c r="I74" s="252"/>
      <c r="J74" s="239"/>
      <c r="K74" s="230"/>
      <c r="L74" s="230"/>
      <c r="M74" s="230"/>
      <c r="N74" s="230"/>
    </row>
    <row r="75" spans="1:14" ht="12.75" customHeight="1">
      <c r="A75" s="249">
        <f>+A73+1</f>
        <v>28</v>
      </c>
      <c r="B75" s="241"/>
      <c r="C75" s="234" t="s">
        <v>304</v>
      </c>
      <c r="D75" s="238" t="str">
        <f>"(Line "&amp;A71&amp;" - Line  "&amp;A73&amp;")"</f>
        <v>(Line 26 - Line  27)</v>
      </c>
      <c r="E75" s="281">
        <f>+E71-E73</f>
        <v>0</v>
      </c>
      <c r="F75" s="281">
        <f>+F71-F73</f>
        <v>0</v>
      </c>
      <c r="G75" s="821">
        <f>+G71-G73</f>
        <v>0</v>
      </c>
      <c r="H75" s="265"/>
      <c r="I75" s="252"/>
      <c r="J75" s="239"/>
      <c r="K75" s="230"/>
      <c r="L75" s="230"/>
      <c r="M75" s="230"/>
      <c r="N75" s="230"/>
    </row>
    <row r="76" spans="1:14" ht="12.75" customHeight="1">
      <c r="A76" s="249"/>
      <c r="B76" s="241"/>
      <c r="C76" s="234"/>
      <c r="D76" s="238"/>
      <c r="E76" s="475"/>
      <c r="F76" s="475"/>
      <c r="G76" s="250"/>
      <c r="H76" s="265"/>
      <c r="I76" s="252"/>
      <c r="J76" s="239"/>
      <c r="K76" s="230"/>
      <c r="L76" s="230"/>
      <c r="M76" s="230"/>
      <c r="N76" s="230"/>
    </row>
    <row r="77" spans="1:14" ht="12.75" customHeight="1">
      <c r="A77" s="267" t="s">
        <v>365</v>
      </c>
      <c r="B77" s="241"/>
      <c r="C77" s="233"/>
      <c r="D77" s="239"/>
      <c r="E77" s="233"/>
      <c r="F77" s="233"/>
      <c r="G77" s="250"/>
      <c r="H77" s="265"/>
      <c r="I77" s="252"/>
      <c r="J77" s="239"/>
      <c r="K77" s="230"/>
      <c r="L77" s="230"/>
      <c r="M77" s="230"/>
      <c r="N77" s="230"/>
    </row>
    <row r="78" spans="1:14" ht="12.75" customHeight="1">
      <c r="A78" s="249"/>
      <c r="B78" s="229"/>
      <c r="D78" s="239"/>
      <c r="E78" s="239"/>
      <c r="F78" s="239"/>
      <c r="G78" s="250"/>
      <c r="H78" s="265"/>
      <c r="I78" s="252"/>
      <c r="J78" s="239"/>
      <c r="K78" s="230"/>
      <c r="L78" s="230"/>
      <c r="M78" s="230"/>
      <c r="N78" s="230"/>
    </row>
    <row r="79" spans="1:14" ht="12.75" customHeight="1">
      <c r="A79" s="249">
        <f>+A75+1</f>
        <v>29</v>
      </c>
      <c r="B79" s="244"/>
      <c r="C79" s="267" t="s">
        <v>365</v>
      </c>
      <c r="D79" s="238" t="s">
        <v>2</v>
      </c>
      <c r="E79" s="1095">
        <v>0</v>
      </c>
      <c r="F79" s="1095">
        <v>0</v>
      </c>
      <c r="G79" s="474">
        <f>IF(F79="",0,AVERAGE(E79:F79))</f>
        <v>0</v>
      </c>
      <c r="H79" s="265"/>
      <c r="I79" s="252"/>
      <c r="J79" s="239"/>
      <c r="K79" s="230"/>
      <c r="L79" s="230"/>
      <c r="M79" s="230"/>
      <c r="N79" s="230"/>
    </row>
    <row r="80" spans="1:14" ht="12.75" customHeight="1">
      <c r="A80" s="228"/>
      <c r="B80" s="244"/>
      <c r="C80" s="244"/>
      <c r="D80" s="244"/>
      <c r="E80" s="244"/>
      <c r="F80" s="244"/>
      <c r="G80" s="250"/>
      <c r="H80" s="265"/>
      <c r="I80" s="252"/>
      <c r="J80" s="239"/>
      <c r="K80" s="230"/>
      <c r="L80" s="230"/>
      <c r="M80" s="230"/>
      <c r="N80" s="230"/>
    </row>
    <row r="81" spans="1:14" ht="12.75" customHeight="1">
      <c r="A81" s="249">
        <f>+A79+1</f>
        <v>30</v>
      </c>
      <c r="B81" s="229"/>
      <c r="C81" s="267" t="s">
        <v>0</v>
      </c>
      <c r="D81" s="238" t="s">
        <v>371</v>
      </c>
      <c r="E81" s="1095">
        <v>0</v>
      </c>
      <c r="F81" s="1095">
        <v>0</v>
      </c>
      <c r="G81" s="474">
        <f>IF(F81="",0,AVERAGE(E81:F81))</f>
        <v>0</v>
      </c>
      <c r="H81" s="265"/>
      <c r="I81" s="252"/>
      <c r="J81" s="239"/>
      <c r="K81" s="230"/>
      <c r="L81" s="230"/>
      <c r="M81" s="230"/>
      <c r="N81" s="230"/>
    </row>
    <row r="82" spans="1:14" ht="12.75" customHeight="1">
      <c r="A82"/>
      <c r="B82"/>
      <c r="C82"/>
      <c r="D82"/>
      <c r="E82"/>
      <c r="F82"/>
      <c r="G82"/>
      <c r="H82"/>
      <c r="I82"/>
      <c r="J82"/>
      <c r="K82"/>
      <c r="L82" s="230"/>
      <c r="M82" s="230"/>
      <c r="N82" s="230"/>
    </row>
    <row r="83" spans="1:14" ht="12.75" customHeight="1">
      <c r="A83" s="267" t="s">
        <v>829</v>
      </c>
      <c r="B83"/>
      <c r="C83" s="741"/>
      <c r="D83"/>
      <c r="E83"/>
      <c r="F83"/>
      <c r="G83"/>
      <c r="H83"/>
      <c r="I83"/>
      <c r="J83"/>
      <c r="K83"/>
      <c r="L83" s="230"/>
      <c r="M83" s="230"/>
      <c r="N83" s="230"/>
    </row>
    <row r="84" spans="1:10" ht="12.75">
      <c r="A84" s="232"/>
      <c r="B84" s="244"/>
      <c r="C84" s="244" t="s">
        <v>1009</v>
      </c>
      <c r="D84" s="244"/>
      <c r="E84" s="244"/>
      <c r="F84" s="244"/>
      <c r="G84" s="244"/>
      <c r="H84" s="244"/>
      <c r="J84" s="244"/>
    </row>
    <row r="85" spans="1:10" ht="12.75">
      <c r="A85" s="249">
        <f>+A81+1</f>
        <v>31</v>
      </c>
      <c r="B85" s="244"/>
      <c r="C85" s="244" t="s">
        <v>834</v>
      </c>
      <c r="D85" s="244"/>
      <c r="E85" s="1096">
        <v>13401</v>
      </c>
      <c r="F85" s="1096">
        <v>40202</v>
      </c>
      <c r="G85" s="474">
        <f>IF(F85="",0,AVERAGE(E85:F85))</f>
        <v>26801.5</v>
      </c>
      <c r="H85" s="244"/>
      <c r="J85" s="244"/>
    </row>
    <row r="86" spans="1:10" ht="12.75">
      <c r="A86" s="249">
        <f aca="true" t="shared" si="0" ref="A86:A95">+A85+1</f>
        <v>32</v>
      </c>
      <c r="B86" s="244"/>
      <c r="C86" s="244" t="s">
        <v>787</v>
      </c>
      <c r="D86" s="244"/>
      <c r="E86" s="1096">
        <v>6</v>
      </c>
      <c r="F86" s="1096">
        <v>18</v>
      </c>
      <c r="G86" s="474">
        <f aca="true" t="shared" si="1" ref="G86:G95">IF(F86="",0,AVERAGE(E86:F86))</f>
        <v>12</v>
      </c>
      <c r="H86" s="244"/>
      <c r="J86" s="244"/>
    </row>
    <row r="87" spans="1:10" ht="12.75">
      <c r="A87" s="249">
        <f t="shared" si="0"/>
        <v>33</v>
      </c>
      <c r="B87" s="244"/>
      <c r="C87" s="244" t="s">
        <v>788</v>
      </c>
      <c r="D87" s="244"/>
      <c r="E87" s="227">
        <f>+IF(E85=0,0,+E85/E86)</f>
        <v>2233.5</v>
      </c>
      <c r="F87" s="227">
        <f>+IF(F85=0,0,+F85/F86)</f>
        <v>2233.4444444444443</v>
      </c>
      <c r="G87" s="474">
        <f>IF(F87="",0,AVERAGE(E87:F87))</f>
        <v>2233.472222222222</v>
      </c>
      <c r="H87" s="244"/>
      <c r="J87" s="244"/>
    </row>
    <row r="88" spans="1:10" ht="12.75">
      <c r="A88" s="249">
        <f t="shared" si="0"/>
        <v>34</v>
      </c>
      <c r="B88" s="244"/>
      <c r="C88" s="244" t="str">
        <f>"Months in "&amp;'Historic TCOS'!O1&amp;" to be amortized"</f>
        <v>Months in 2014 to be amortized</v>
      </c>
      <c r="D88" s="244"/>
      <c r="E88" s="1096">
        <v>6</v>
      </c>
      <c r="F88" s="1096">
        <v>12</v>
      </c>
      <c r="G88" s="474">
        <f t="shared" si="1"/>
        <v>9</v>
      </c>
      <c r="H88" s="244"/>
      <c r="J88" s="244"/>
    </row>
    <row r="89" spans="1:10" ht="12.75">
      <c r="A89" s="249">
        <f t="shared" si="0"/>
        <v>35</v>
      </c>
      <c r="B89" s="244"/>
      <c r="C89" s="244" t="str">
        <f>"Amortization Expense in "&amp;'Historic TCOS'!O1&amp;""</f>
        <v>Amortization Expense in 2014</v>
      </c>
      <c r="D89" s="244"/>
      <c r="E89" s="227">
        <f>E87*E88</f>
        <v>13401</v>
      </c>
      <c r="F89" s="227">
        <f>F87*F88</f>
        <v>26801.333333333332</v>
      </c>
      <c r="G89" s="474">
        <f t="shared" si="1"/>
        <v>20101.166666666664</v>
      </c>
      <c r="H89" s="244"/>
      <c r="J89" s="244"/>
    </row>
    <row r="90" spans="1:10" ht="12.75">
      <c r="A90" s="249">
        <f t="shared" si="0"/>
        <v>36</v>
      </c>
      <c r="B90" s="244"/>
      <c r="C90" s="244" t="str">
        <f>"Months in "&amp;'Historic TCOS'!O2&amp;" to be amortized"</f>
        <v>Months in 2015 to be amortized</v>
      </c>
      <c r="D90" s="244"/>
      <c r="E90" s="1096">
        <v>6</v>
      </c>
      <c r="F90" s="1096">
        <v>6</v>
      </c>
      <c r="G90" s="474">
        <f t="shared" si="1"/>
        <v>6</v>
      </c>
      <c r="H90" s="244"/>
      <c r="J90" s="244"/>
    </row>
    <row r="91" spans="1:10" ht="12.75">
      <c r="A91" s="249">
        <f t="shared" si="0"/>
        <v>37</v>
      </c>
      <c r="B91" s="244"/>
      <c r="C91" s="244" t="str">
        <f>"Amortization Expense in "&amp;'Historic TCOS'!O2&amp;""</f>
        <v>Amortization Expense in 2015</v>
      </c>
      <c r="D91" s="244"/>
      <c r="E91" s="227">
        <f>E87*E90</f>
        <v>13401</v>
      </c>
      <c r="F91" s="227">
        <f>F87*F90</f>
        <v>13400.666666666666</v>
      </c>
      <c r="G91" s="474">
        <f t="shared" si="1"/>
        <v>13400.833333333332</v>
      </c>
      <c r="H91" s="244"/>
      <c r="J91" s="244"/>
    </row>
    <row r="92" spans="1:10" ht="12.75">
      <c r="A92" s="249">
        <f t="shared" si="0"/>
        <v>38</v>
      </c>
      <c r="B92" s="244"/>
      <c r="C92" s="244" t="s">
        <v>789</v>
      </c>
      <c r="D92" s="244"/>
      <c r="E92" s="227">
        <f>+E85-E87*E88</f>
        <v>0</v>
      </c>
      <c r="F92" s="227">
        <f>+F85-F87*F88</f>
        <v>13400.666666666668</v>
      </c>
      <c r="G92" s="474">
        <f t="shared" si="1"/>
        <v>6700.333333333334</v>
      </c>
      <c r="H92" s="244"/>
      <c r="J92" s="244"/>
    </row>
    <row r="93" spans="1:10" ht="12.75">
      <c r="A93" s="249">
        <f t="shared" si="0"/>
        <v>39</v>
      </c>
      <c r="B93" s="244"/>
      <c r="C93" s="244" t="s">
        <v>790</v>
      </c>
      <c r="D93" s="244"/>
      <c r="E93" s="921">
        <f>+E85/2+E92/2</f>
        <v>6700.5</v>
      </c>
      <c r="F93" s="921">
        <f>+F85/2+F92/2</f>
        <v>26801.333333333336</v>
      </c>
      <c r="G93" s="960">
        <f t="shared" si="1"/>
        <v>16750.916666666668</v>
      </c>
      <c r="H93" s="244"/>
      <c r="J93" s="244"/>
    </row>
    <row r="94" spans="1:10" ht="12.75">
      <c r="A94" s="249">
        <f t="shared" si="0"/>
        <v>40</v>
      </c>
      <c r="B94" s="244"/>
      <c r="C94" s="232" t="str">
        <f>"Unamortized Balance of Regulatory Asset at YE "&amp;'Historic TCOS'!O1&amp;""</f>
        <v>Unamortized Balance of Regulatory Asset at YE 2014</v>
      </c>
      <c r="D94" s="244"/>
      <c r="E94" s="227">
        <f>E92</f>
        <v>0</v>
      </c>
      <c r="F94" s="227">
        <f>F92</f>
        <v>13400.666666666668</v>
      </c>
      <c r="G94" s="474">
        <f t="shared" si="1"/>
        <v>6700.333333333334</v>
      </c>
      <c r="H94" s="244"/>
      <c r="J94" s="244"/>
    </row>
    <row r="95" spans="1:10" ht="12.75">
      <c r="A95" s="249">
        <f t="shared" si="0"/>
        <v>41</v>
      </c>
      <c r="B95" s="244"/>
      <c r="C95" s="244" t="s">
        <v>111</v>
      </c>
      <c r="D95" s="244"/>
      <c r="E95" s="474">
        <v>0</v>
      </c>
      <c r="F95" s="474">
        <v>0</v>
      </c>
      <c r="G95" s="474">
        <f t="shared" si="1"/>
        <v>0</v>
      </c>
      <c r="H95" s="244"/>
      <c r="J95" s="244"/>
    </row>
    <row r="96" spans="1:10" ht="12.75">
      <c r="A96" s="249"/>
      <c r="B96" s="244"/>
      <c r="C96" s="244"/>
      <c r="D96" s="244"/>
      <c r="E96" s="244"/>
      <c r="F96" s="244"/>
      <c r="G96" s="244"/>
      <c r="H96" s="244"/>
      <c r="J96" s="244"/>
    </row>
    <row r="97" spans="1:10" ht="12.75">
      <c r="A97" s="249" t="s">
        <v>420</v>
      </c>
      <c r="B97" s="244" t="s">
        <v>50</v>
      </c>
      <c r="C97" s="244"/>
      <c r="D97" s="244"/>
      <c r="E97" s="244"/>
      <c r="F97" s="244"/>
      <c r="G97" s="244"/>
      <c r="H97" s="244"/>
      <c r="J97" s="244"/>
    </row>
    <row r="98" spans="1:10" ht="12.75">
      <c r="A98" s="249" t="s">
        <v>194</v>
      </c>
      <c r="B98" s="1203" t="str">
        <f>"Formation costs through 6/30/2010 are includable at 50% with 48 month amortization and no return on the unamortized balance.  The balance on line "&amp;A95&amp;" may not include unamortized formation costs."</f>
        <v>Formation costs through 6/30/2010 are includable at 50% with 48 month amortization and no return on the unamortized balance.  The balance on line 41 may not include unamortized formation costs.</v>
      </c>
      <c r="C98" s="1203"/>
      <c r="D98" s="1203"/>
      <c r="E98" s="1203"/>
      <c r="F98" s="1203"/>
      <c r="G98" s="1203"/>
      <c r="H98" s="244"/>
      <c r="J98" s="244"/>
    </row>
    <row r="99" spans="2:10" ht="12.75">
      <c r="B99" s="1203"/>
      <c r="C99" s="1203"/>
      <c r="D99" s="1203"/>
      <c r="E99" s="1203"/>
      <c r="F99" s="1203"/>
      <c r="G99" s="1203"/>
      <c r="H99" s="244"/>
      <c r="J99" s="244"/>
    </row>
  </sheetData>
  <sheetProtection/>
  <mergeCells count="8">
    <mergeCell ref="B98:G99"/>
    <mergeCell ref="G7:G8"/>
    <mergeCell ref="A2:G2"/>
    <mergeCell ref="A1:G1"/>
    <mergeCell ref="A3:G3"/>
    <mergeCell ref="A4:G4"/>
    <mergeCell ref="E7:E8"/>
    <mergeCell ref="F7:F8"/>
  </mergeCells>
  <printOptions/>
  <pageMargins left="0.26" right="1.28" top="1" bottom="1" header="0.75" footer="0.5"/>
  <pageSetup fitToHeight="1" fitToWidth="1" horizontalDpi="600" verticalDpi="600" orientation="portrait" scale="47"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O220"/>
  <sheetViews>
    <sheetView zoomScale="75" zoomScaleNormal="75" zoomScalePageLayoutView="0" workbookViewId="0" topLeftCell="A1">
      <selection activeCell="E22" sqref="E22"/>
    </sheetView>
  </sheetViews>
  <sheetFormatPr defaultColWidth="9.140625" defaultRowHeight="12.75"/>
  <cols>
    <col min="1" max="1" width="9.140625" style="161" customWidth="1"/>
    <col min="2" max="2" width="0.85546875" style="167" customWidth="1"/>
    <col min="3" max="3" width="41.57421875" style="161" customWidth="1"/>
    <col min="4" max="4" width="27.140625" style="161" customWidth="1"/>
    <col min="5" max="5" width="21.140625" style="161" customWidth="1"/>
    <col min="6" max="6" width="1.7109375" style="161" customWidth="1"/>
    <col min="7" max="7" width="21.421875" style="161" customWidth="1"/>
    <col min="8" max="8" width="2.8515625" style="161" customWidth="1"/>
    <col min="9" max="9" width="17.8515625" style="161" customWidth="1"/>
    <col min="10" max="10" width="15.7109375" style="161" customWidth="1"/>
    <col min="11" max="11" width="18.00390625" style="161" bestFit="1" customWidth="1"/>
    <col min="12" max="12" width="20.421875" style="161" customWidth="1"/>
    <col min="13" max="15" width="9.140625" style="161" customWidth="1"/>
    <col min="16" max="16" width="10.00390625" style="161" bestFit="1" customWidth="1"/>
    <col min="17" max="17" width="17.7109375" style="161" customWidth="1"/>
    <col min="18" max="18" width="15.57421875" style="161" bestFit="1" customWidth="1"/>
    <col min="19" max="16384" width="9.140625" style="161" customWidth="1"/>
  </cols>
  <sheetData>
    <row r="1" spans="1:11" ht="15">
      <c r="A1" s="1207" t="str">
        <f>'Historic TCOS'!$F$3</f>
        <v>AEPTCo subsidiaries in PJM</v>
      </c>
      <c r="B1" s="1207" t="str">
        <f>'Historic TCOS'!$F$3</f>
        <v>AEPTCo subsidiaries in PJM</v>
      </c>
      <c r="C1" s="1207" t="str">
        <f>'Historic TCOS'!$F$3</f>
        <v>AEPTCo subsidiaries in PJM</v>
      </c>
      <c r="D1" s="1207" t="str">
        <f>'Historic TCOS'!$F$3</f>
        <v>AEPTCo subsidiaries in PJM</v>
      </c>
      <c r="E1" s="1207" t="str">
        <f>'Historic TCOS'!$F$3</f>
        <v>AEPTCo subsidiaries in PJM</v>
      </c>
      <c r="F1" s="1207" t="str">
        <f>'Historic TCOS'!$F$3</f>
        <v>AEPTCo subsidiaries in PJM</v>
      </c>
      <c r="G1" s="1207" t="str">
        <f>'Historic TCOS'!$F$3</f>
        <v>AEPTCo subsidiaries in PJM</v>
      </c>
      <c r="H1" s="1207" t="str">
        <f>'Historic TCOS'!$F$3</f>
        <v>AEPTCo subsidiaries in PJM</v>
      </c>
      <c r="I1" s="1207" t="str">
        <f>'Historic TCOS'!$F$3</f>
        <v>AEPTCo subsidiaries in PJM</v>
      </c>
      <c r="J1" s="171"/>
      <c r="K1" s="171"/>
    </row>
    <row r="2" spans="1:11" ht="15">
      <c r="A2" s="1206" t="str">
        <f>"Cost of Service Formula Rate Using "&amp;'Historic TCOS'!O1&amp;" FF1 Balances"</f>
        <v>Cost of Service Formula Rate Using 2014 FF1 Balances</v>
      </c>
      <c r="B2" s="1206"/>
      <c r="C2" s="1206"/>
      <c r="D2" s="1206"/>
      <c r="E2" s="1206"/>
      <c r="F2" s="1206"/>
      <c r="G2" s="1206"/>
      <c r="H2" s="1206"/>
      <c r="I2" s="1206"/>
      <c r="J2" s="275"/>
      <c r="K2" s="275"/>
    </row>
    <row r="3" spans="1:11" ht="15">
      <c r="A3" s="1206" t="s">
        <v>208</v>
      </c>
      <c r="B3" s="1206"/>
      <c r="C3" s="1206"/>
      <c r="D3" s="1206"/>
      <c r="E3" s="1206"/>
      <c r="F3" s="1206"/>
      <c r="G3" s="1206"/>
      <c r="H3" s="1206"/>
      <c r="I3" s="1206"/>
      <c r="J3" s="274"/>
      <c r="K3" s="274"/>
    </row>
    <row r="4" spans="1:13" ht="15">
      <c r="A4" s="1210" t="str">
        <f>+'WS A  - RB Support '!A4:F4</f>
        <v>AEP KENTUCKY TRANSMISSION COMPANY</v>
      </c>
      <c r="B4" s="1210"/>
      <c r="C4" s="1210"/>
      <c r="D4" s="1210"/>
      <c r="E4" s="1210"/>
      <c r="F4" s="1210"/>
      <c r="G4" s="1210"/>
      <c r="H4" s="1210"/>
      <c r="I4" s="1210"/>
      <c r="J4" s="12"/>
      <c r="K4" s="12"/>
      <c r="L4"/>
      <c r="M4"/>
    </row>
    <row r="5" spans="3:4" ht="12.75">
      <c r="C5" s="165"/>
      <c r="D5" s="165"/>
    </row>
    <row r="6" spans="3:15" ht="12.75">
      <c r="C6" s="110" t="s">
        <v>601</v>
      </c>
      <c r="D6" s="110" t="s">
        <v>602</v>
      </c>
      <c r="E6" s="110" t="s">
        <v>603</v>
      </c>
      <c r="G6" s="110" t="s">
        <v>604</v>
      </c>
      <c r="I6" s="110" t="s">
        <v>522</v>
      </c>
      <c r="J6" s="110"/>
      <c r="K6" s="110"/>
      <c r="L6" s="110"/>
      <c r="M6"/>
      <c r="N6"/>
      <c r="O6"/>
    </row>
    <row r="7" spans="1:15" ht="12.75">
      <c r="A7" s="272"/>
      <c r="I7" s="116"/>
      <c r="J7"/>
      <c r="K7"/>
      <c r="L7"/>
      <c r="M7"/>
      <c r="N7"/>
      <c r="O7"/>
    </row>
    <row r="8" spans="1:15" ht="12.75" customHeight="1">
      <c r="A8" s="114" t="s">
        <v>608</v>
      </c>
      <c r="C8" s="166"/>
      <c r="D8" s="166"/>
      <c r="E8" s="1209" t="str">
        <f>"Balance @ December 31, "&amp;'Historic TCOS'!O1&amp;""</f>
        <v>Balance @ December 31, 2014</v>
      </c>
      <c r="F8" s="482"/>
      <c r="G8" s="1209" t="str">
        <f>"Balance @ December 31, "&amp;'Historic TCOS'!O1-1&amp;""</f>
        <v>Balance @ December 31, 2013</v>
      </c>
      <c r="H8" s="482"/>
      <c r="I8" s="1204" t="str">
        <f>"Average Balance for "&amp;'Historic TCOS'!O1&amp;""</f>
        <v>Average Balance for 2014</v>
      </c>
      <c r="J8"/>
      <c r="K8"/>
      <c r="L8"/>
      <c r="M8"/>
      <c r="N8"/>
      <c r="O8"/>
    </row>
    <row r="9" spans="1:15" ht="12.75">
      <c r="A9" s="114" t="s">
        <v>546</v>
      </c>
      <c r="B9" s="113"/>
      <c r="C9" s="114" t="s">
        <v>606</v>
      </c>
      <c r="D9" s="114" t="s">
        <v>677</v>
      </c>
      <c r="E9" s="1205"/>
      <c r="F9" s="254"/>
      <c r="G9" s="1205"/>
      <c r="H9" s="694"/>
      <c r="I9" s="1205"/>
      <c r="J9"/>
      <c r="K9"/>
      <c r="L9"/>
      <c r="M9"/>
      <c r="N9"/>
      <c r="O9"/>
    </row>
    <row r="10" spans="1:7" ht="12.75">
      <c r="A10" s="272"/>
      <c r="C10" s="165"/>
      <c r="D10" s="165"/>
      <c r="G10" s="736"/>
    </row>
    <row r="11" spans="1:4" ht="12.75">
      <c r="A11" s="272"/>
      <c r="C11" s="165"/>
      <c r="D11" s="165"/>
    </row>
    <row r="12" spans="1:4" ht="12.75">
      <c r="A12" s="272"/>
      <c r="C12" s="165"/>
      <c r="D12" s="165"/>
    </row>
    <row r="13" spans="1:4" ht="15">
      <c r="A13" s="272">
        <v>1</v>
      </c>
      <c r="C13" s="194" t="s">
        <v>297</v>
      </c>
      <c r="D13" s="194"/>
    </row>
    <row r="14" spans="1:8" ht="15">
      <c r="A14" s="272"/>
      <c r="C14" s="194"/>
      <c r="D14" s="194"/>
      <c r="H14"/>
    </row>
    <row r="15" spans="1:9" ht="12.75">
      <c r="A15" s="272">
        <f>+A13+1</f>
        <v>2</v>
      </c>
      <c r="C15" s="203" t="s">
        <v>325</v>
      </c>
      <c r="D15" s="238" t="s">
        <v>327</v>
      </c>
      <c r="E15" s="1098">
        <v>0</v>
      </c>
      <c r="G15" s="1098">
        <v>0</v>
      </c>
      <c r="H15"/>
      <c r="I15" s="474">
        <f>IF(G15="",0,(E15+G15)/2)</f>
        <v>0</v>
      </c>
    </row>
    <row r="16" spans="1:9" ht="12.75">
      <c r="A16" s="272">
        <f>+A15+1</f>
        <v>3</v>
      </c>
      <c r="C16" s="203" t="s">
        <v>329</v>
      </c>
      <c r="D16" s="272" t="s">
        <v>371</v>
      </c>
      <c r="E16" s="1098">
        <v>0</v>
      </c>
      <c r="G16" s="1098">
        <v>0</v>
      </c>
      <c r="H16"/>
      <c r="I16" s="474">
        <f>IF(G16="",0,(E16+G16)/2)</f>
        <v>0</v>
      </c>
    </row>
    <row r="17" spans="1:9" ht="15">
      <c r="A17" s="272">
        <f>+A16+1</f>
        <v>4</v>
      </c>
      <c r="C17" s="203" t="s">
        <v>330</v>
      </c>
      <c r="D17" s="272" t="s">
        <v>371</v>
      </c>
      <c r="E17" s="1145">
        <v>0</v>
      </c>
      <c r="G17" s="1145">
        <v>0</v>
      </c>
      <c r="I17" s="621">
        <f>IF(G17="",0,(E17+G17)/2)</f>
        <v>0</v>
      </c>
    </row>
    <row r="18" spans="1:9" ht="12.75">
      <c r="A18" s="272">
        <f>+A17+1</f>
        <v>5</v>
      </c>
      <c r="C18" s="203" t="s">
        <v>326</v>
      </c>
      <c r="D18" s="483" t="str">
        <f>"Ln "&amp;A15&amp;" - ln "&amp;A16&amp;" - ln "&amp;A17&amp;""</f>
        <v>Ln 2 - ln 3 - ln 4</v>
      </c>
      <c r="E18" s="151">
        <f>+E15-E16-E17</f>
        <v>0</v>
      </c>
      <c r="G18" s="151">
        <f>+G15-G16-G17</f>
        <v>0</v>
      </c>
      <c r="I18" s="474">
        <f>+I15-I16-I17</f>
        <v>0</v>
      </c>
    </row>
    <row r="19" spans="1:4" ht="12.75">
      <c r="A19" s="272"/>
      <c r="C19" s="203"/>
      <c r="D19" s="203"/>
    </row>
    <row r="20" spans="1:4" ht="12.75">
      <c r="A20" s="272"/>
      <c r="C20" s="203"/>
      <c r="D20" s="203"/>
    </row>
    <row r="21" spans="1:4" ht="15">
      <c r="A21" s="272">
        <f>+A18+1</f>
        <v>6</v>
      </c>
      <c r="C21" s="194" t="s">
        <v>298</v>
      </c>
      <c r="D21" s="203"/>
    </row>
    <row r="22" spans="1:4" ht="12.75">
      <c r="A22" s="272"/>
      <c r="C22" s="203"/>
      <c r="D22" s="203"/>
    </row>
    <row r="23" spans="1:9" ht="12.75">
      <c r="A23" s="272">
        <f>+A21+1</f>
        <v>7</v>
      </c>
      <c r="C23" s="203" t="s">
        <v>325</v>
      </c>
      <c r="D23" s="238" t="s">
        <v>139</v>
      </c>
      <c r="E23" s="1098">
        <v>4721</v>
      </c>
      <c r="G23" s="1098">
        <v>359</v>
      </c>
      <c r="H23"/>
      <c r="I23" s="474">
        <f>IF(G23="",0,(E23+G23)/2)</f>
        <v>2540</v>
      </c>
    </row>
    <row r="24" spans="1:9" ht="12.75">
      <c r="A24" s="272">
        <f>+A23+1</f>
        <v>8</v>
      </c>
      <c r="C24" s="203" t="s">
        <v>329</v>
      </c>
      <c r="D24" s="272" t="s">
        <v>371</v>
      </c>
      <c r="E24" s="1098">
        <v>0</v>
      </c>
      <c r="G24" s="1098">
        <v>0</v>
      </c>
      <c r="H24"/>
      <c r="I24" s="474">
        <f>IF(G24="",0,(E24+G24)/2)</f>
        <v>0</v>
      </c>
    </row>
    <row r="25" spans="1:9" ht="15">
      <c r="A25" s="272">
        <f>+A24+1</f>
        <v>9</v>
      </c>
      <c r="C25" s="203" t="s">
        <v>330</v>
      </c>
      <c r="D25" s="272" t="s">
        <v>371</v>
      </c>
      <c r="E25" s="1145">
        <v>0</v>
      </c>
      <c r="G25" s="1145">
        <v>0</v>
      </c>
      <c r="I25" s="621">
        <f>IF(G25="",0,(E25+G25)/2)</f>
        <v>0</v>
      </c>
    </row>
    <row r="26" spans="1:9" ht="12.75">
      <c r="A26" s="272">
        <f>+A25+1</f>
        <v>10</v>
      </c>
      <c r="C26" s="203" t="s">
        <v>326</v>
      </c>
      <c r="D26" s="483" t="str">
        <f>"Ln "&amp;A23&amp;" - ln "&amp;A24&amp;" - ln "&amp;A25&amp;""</f>
        <v>Ln 7 - ln 8 - ln 9</v>
      </c>
      <c r="E26" s="151">
        <f>+E23-E24-E25</f>
        <v>4721</v>
      </c>
      <c r="G26" s="151">
        <f>+G23-G24-G25</f>
        <v>359</v>
      </c>
      <c r="I26" s="474">
        <f>+I23-I24-I25</f>
        <v>2540</v>
      </c>
    </row>
    <row r="27" spans="1:4" ht="12.75">
      <c r="A27" s="272"/>
      <c r="C27" s="203"/>
      <c r="D27" s="203"/>
    </row>
    <row r="28" spans="1:7" ht="12.75">
      <c r="A28" s="272"/>
      <c r="C28" s="203"/>
      <c r="D28" s="203"/>
      <c r="E28" s="480"/>
      <c r="G28" s="480"/>
    </row>
    <row r="29" spans="1:4" ht="15">
      <c r="A29" s="272">
        <f>+A26+1</f>
        <v>11</v>
      </c>
      <c r="C29" s="194" t="s">
        <v>299</v>
      </c>
      <c r="D29" s="203"/>
    </row>
    <row r="30" spans="1:4" ht="15">
      <c r="A30" s="272"/>
      <c r="C30" s="194"/>
      <c r="D30" s="203"/>
    </row>
    <row r="31" spans="1:9" ht="12.75">
      <c r="A31" s="272">
        <f>+A29+1</f>
        <v>12</v>
      </c>
      <c r="C31" s="203" t="s">
        <v>325</v>
      </c>
      <c r="D31" s="238" t="s">
        <v>328</v>
      </c>
      <c r="E31" s="1098">
        <v>63470</v>
      </c>
      <c r="G31" s="1097">
        <v>9185</v>
      </c>
      <c r="H31"/>
      <c r="I31" s="474">
        <f>IF(G31="",0,(E31+G31)/2)</f>
        <v>36327.5</v>
      </c>
    </row>
    <row r="32" spans="1:9" ht="12.75">
      <c r="A32" s="272">
        <f>+A31+1</f>
        <v>13</v>
      </c>
      <c r="C32" s="203" t="s">
        <v>329</v>
      </c>
      <c r="D32" s="272" t="s">
        <v>371</v>
      </c>
      <c r="E32" s="1098">
        <v>0</v>
      </c>
      <c r="G32" s="1098">
        <v>0</v>
      </c>
      <c r="H32"/>
      <c r="I32" s="474">
        <f>IF(G32="",0,(E32+G32)/2)</f>
        <v>0</v>
      </c>
    </row>
    <row r="33" spans="1:9" ht="15">
      <c r="A33" s="272">
        <f>+A32+1</f>
        <v>14</v>
      </c>
      <c r="C33" s="203" t="s">
        <v>330</v>
      </c>
      <c r="D33" s="272" t="s">
        <v>371</v>
      </c>
      <c r="E33" s="1145">
        <v>0</v>
      </c>
      <c r="G33" s="1145">
        <v>0</v>
      </c>
      <c r="I33" s="621">
        <f>IF(G33="",0,(E33+G33)/2)</f>
        <v>0</v>
      </c>
    </row>
    <row r="34" spans="1:9" ht="12.75">
      <c r="A34" s="272">
        <f>+A33+1</f>
        <v>15</v>
      </c>
      <c r="C34" s="203" t="s">
        <v>326</v>
      </c>
      <c r="D34" s="483" t="str">
        <f>"Ln "&amp;A31&amp;" - ln "&amp;A32&amp;" - ln "&amp;A33&amp;""</f>
        <v>Ln 12 - ln 13 - ln 14</v>
      </c>
      <c r="E34" s="151">
        <f>+E31-E32-E33</f>
        <v>63470</v>
      </c>
      <c r="G34" s="151">
        <f>+G31-G32-G33</f>
        <v>9185</v>
      </c>
      <c r="I34" s="474">
        <f>+I31-I32-I33</f>
        <v>36327.5</v>
      </c>
    </row>
    <row r="35" spans="1:4" ht="15">
      <c r="A35" s="272"/>
      <c r="C35" s="194"/>
      <c r="D35" s="203"/>
    </row>
    <row r="36" spans="1:4" ht="12.75">
      <c r="A36" s="272"/>
      <c r="C36" s="203"/>
      <c r="D36" s="203"/>
    </row>
    <row r="37" spans="1:4" ht="15">
      <c r="A37" s="272">
        <f>+A34+1</f>
        <v>16</v>
      </c>
      <c r="C37" s="194" t="s">
        <v>300</v>
      </c>
      <c r="D37" s="203"/>
    </row>
    <row r="38" spans="1:4" ht="12.75">
      <c r="A38" s="272"/>
      <c r="C38" s="203"/>
      <c r="D38" s="203"/>
    </row>
    <row r="39" spans="1:9" ht="12.75">
      <c r="A39" s="272">
        <f>+A37+1</f>
        <v>17</v>
      </c>
      <c r="C39" s="203" t="s">
        <v>325</v>
      </c>
      <c r="D39" s="238" t="s">
        <v>302</v>
      </c>
      <c r="E39" s="1097">
        <v>49233</v>
      </c>
      <c r="G39" s="1097">
        <v>27886</v>
      </c>
      <c r="H39"/>
      <c r="I39" s="474">
        <f>IF(G39="",0,(E39+G39)/2)</f>
        <v>38559.5</v>
      </c>
    </row>
    <row r="40" spans="1:9" ht="12.75">
      <c r="A40" s="272">
        <f>+A39+1</f>
        <v>18</v>
      </c>
      <c r="C40" s="203" t="s">
        <v>329</v>
      </c>
      <c r="D40" s="272" t="s">
        <v>371</v>
      </c>
      <c r="E40" s="1098">
        <v>0</v>
      </c>
      <c r="G40" s="1098">
        <v>0</v>
      </c>
      <c r="H40"/>
      <c r="I40" s="474">
        <f>IF(G40="",0,(E40+G40)/2)</f>
        <v>0</v>
      </c>
    </row>
    <row r="41" spans="1:9" ht="15">
      <c r="A41" s="272">
        <f>+A40+1</f>
        <v>19</v>
      </c>
      <c r="C41" s="203" t="s">
        <v>330</v>
      </c>
      <c r="D41" s="272" t="s">
        <v>371</v>
      </c>
      <c r="E41" s="1145">
        <v>0</v>
      </c>
      <c r="G41" s="1145">
        <v>0</v>
      </c>
      <c r="I41" s="621">
        <f>IF(G41="",0,(E41+G41)/2)</f>
        <v>0</v>
      </c>
    </row>
    <row r="42" spans="1:9" ht="12.75">
      <c r="A42" s="272">
        <f>+A41+1</f>
        <v>20</v>
      </c>
      <c r="C42" s="203" t="s">
        <v>326</v>
      </c>
      <c r="D42" s="483" t="str">
        <f>"Ln "&amp;A39&amp;" - ln "&amp;A40&amp;" - ln "&amp;A41&amp;""</f>
        <v>Ln 17 - ln 18 - ln 19</v>
      </c>
      <c r="E42" s="151">
        <f>+E39-E40-E41</f>
        <v>49233</v>
      </c>
      <c r="G42" s="151">
        <f>+G39-G40-G41</f>
        <v>27886</v>
      </c>
      <c r="I42" s="474">
        <f>+I39-I40-I41</f>
        <v>38559.5</v>
      </c>
    </row>
    <row r="43" spans="1:4" ht="12.75">
      <c r="A43" s="272"/>
      <c r="C43" s="203"/>
      <c r="D43" s="203"/>
    </row>
    <row r="44" spans="1:4" ht="12.75">
      <c r="A44" s="272"/>
      <c r="C44" s="203"/>
      <c r="D44" s="203"/>
    </row>
    <row r="45" spans="1:4" ht="15">
      <c r="A45" s="272">
        <f>+A42+1</f>
        <v>21</v>
      </c>
      <c r="C45" s="194" t="s">
        <v>301</v>
      </c>
      <c r="D45" s="203"/>
    </row>
    <row r="46" spans="1:4" ht="12.75">
      <c r="A46" s="272"/>
      <c r="C46" s="203"/>
      <c r="D46" s="203"/>
    </row>
    <row r="47" spans="1:9" ht="12.75">
      <c r="A47" s="272">
        <f>+A45+1</f>
        <v>22</v>
      </c>
      <c r="C47" s="203" t="s">
        <v>331</v>
      </c>
      <c r="D47" s="238" t="s">
        <v>207</v>
      </c>
      <c r="E47" s="1098">
        <v>0</v>
      </c>
      <c r="G47" s="1098">
        <v>0</v>
      </c>
      <c r="H47"/>
      <c r="I47" s="474">
        <f>IF(G47="",0,(E47+G47)/2)</f>
        <v>0</v>
      </c>
    </row>
    <row r="48" spans="1:9" ht="15">
      <c r="A48" s="272">
        <f>+A47+1</f>
        <v>23</v>
      </c>
      <c r="C48" s="203" t="s">
        <v>332</v>
      </c>
      <c r="D48" s="272" t="s">
        <v>371</v>
      </c>
      <c r="E48" s="1145">
        <v>0</v>
      </c>
      <c r="G48" s="1145">
        <v>0</v>
      </c>
      <c r="H48"/>
      <c r="I48" s="621">
        <f>IF(G48="",0,(E48+G48)/2)</f>
        <v>0</v>
      </c>
    </row>
    <row r="49" spans="1:9" ht="12.75">
      <c r="A49" s="272">
        <f>+A48+1</f>
        <v>24</v>
      </c>
      <c r="C49" s="203" t="s">
        <v>181</v>
      </c>
      <c r="D49" s="483" t="str">
        <f>"Ln "&amp;A47&amp;" - ln "&amp;A48&amp;""</f>
        <v>Ln 22 - ln 23</v>
      </c>
      <c r="E49" s="151">
        <f>+E47-E48</f>
        <v>0</v>
      </c>
      <c r="G49" s="151">
        <f>+G47-G48</f>
        <v>0</v>
      </c>
      <c r="H49"/>
      <c r="I49" s="474">
        <f>+I47-I48</f>
        <v>0</v>
      </c>
    </row>
    <row r="50" spans="1:9" ht="12.75">
      <c r="A50" s="272">
        <f>+A49+1</f>
        <v>25</v>
      </c>
      <c r="C50" s="203" t="s">
        <v>326</v>
      </c>
      <c r="D50" s="483" t="str">
        <f>+D48</f>
        <v>Company Records - Note 1</v>
      </c>
      <c r="E50" s="1098">
        <v>0</v>
      </c>
      <c r="G50" s="1098">
        <v>0</v>
      </c>
      <c r="H50"/>
      <c r="I50" s="474">
        <f>IF(G50="",0,(E50+G50)/2)</f>
        <v>0</v>
      </c>
    </row>
    <row r="51" spans="1:4" ht="12.75">
      <c r="A51" s="272"/>
      <c r="C51" s="203"/>
      <c r="D51" s="203"/>
    </row>
    <row r="52" spans="1:4" ht="12.75">
      <c r="A52" s="249" t="s">
        <v>370</v>
      </c>
      <c r="B52" s="244" t="s">
        <v>52</v>
      </c>
      <c r="C52" s="203"/>
      <c r="D52" s="203"/>
    </row>
    <row r="53" spans="1:4" ht="12.75">
      <c r="A53" s="272"/>
      <c r="C53" s="203"/>
      <c r="D53" s="203"/>
    </row>
    <row r="54" spans="1:4" ht="12.75">
      <c r="A54" s="272" t="s">
        <v>194</v>
      </c>
      <c r="B54" s="167" t="s">
        <v>195</v>
      </c>
      <c r="C54" s="203"/>
      <c r="D54" s="203"/>
    </row>
    <row r="55" spans="2:11" ht="12.75">
      <c r="B55" s="102"/>
      <c r="C55" s="102"/>
      <c r="D55" s="102"/>
      <c r="E55" s="102"/>
      <c r="F55" s="102"/>
      <c r="G55" s="102"/>
      <c r="H55" s="102"/>
      <c r="I55" s="102"/>
      <c r="J55" s="102"/>
      <c r="K55" s="102"/>
    </row>
    <row r="56" spans="2:11" ht="12.75">
      <c r="B56" s="102"/>
      <c r="C56" s="102"/>
      <c r="D56" s="102"/>
      <c r="E56" s="102"/>
      <c r="F56" s="102"/>
      <c r="G56" s="102"/>
      <c r="H56" s="102"/>
      <c r="I56" s="102"/>
      <c r="J56" s="102"/>
      <c r="K56" s="102"/>
    </row>
    <row r="57" spans="2:11" ht="12.75">
      <c r="B57" s="102"/>
      <c r="C57" s="102"/>
      <c r="D57" s="102"/>
      <c r="E57" s="102"/>
      <c r="F57" s="102"/>
      <c r="G57" s="102"/>
      <c r="H57" s="102"/>
      <c r="I57" s="102"/>
      <c r="J57" s="102"/>
      <c r="K57" s="102"/>
    </row>
    <row r="58" spans="2:11" ht="12.75">
      <c r="B58" s="102"/>
      <c r="C58" s="102"/>
      <c r="D58" s="102"/>
      <c r="E58" s="102"/>
      <c r="F58" s="102"/>
      <c r="G58" s="102"/>
      <c r="H58" s="102"/>
      <c r="I58" s="102"/>
      <c r="J58" s="102"/>
      <c r="K58" s="102"/>
    </row>
    <row r="59" spans="2:11" ht="12.75">
      <c r="B59" s="102"/>
      <c r="C59" s="102"/>
      <c r="D59" s="102"/>
      <c r="E59" s="102"/>
      <c r="F59" s="102"/>
      <c r="G59" s="102"/>
      <c r="H59" s="102"/>
      <c r="I59" s="102"/>
      <c r="J59" s="102"/>
      <c r="K59" s="102"/>
    </row>
    <row r="60" spans="2:12" ht="12.75">
      <c r="B60" s="102"/>
      <c r="C60" s="102"/>
      <c r="D60" s="102"/>
      <c r="E60" s="102"/>
      <c r="F60" s="102"/>
      <c r="G60" s="102"/>
      <c r="H60" s="102"/>
      <c r="I60" s="102"/>
      <c r="J60" s="102"/>
      <c r="K60" s="102"/>
      <c r="L60" s="102"/>
    </row>
    <row r="61" spans="2:12" ht="12.75">
      <c r="B61" s="102"/>
      <c r="C61" s="102"/>
      <c r="D61" s="102"/>
      <c r="E61" s="102"/>
      <c r="F61" s="102"/>
      <c r="G61" s="102"/>
      <c r="H61" s="102"/>
      <c r="I61" s="102"/>
      <c r="J61" s="102"/>
      <c r="K61" s="102"/>
      <c r="L61" s="102"/>
    </row>
    <row r="62" spans="2:12" ht="12.75">
      <c r="B62" s="102"/>
      <c r="C62" s="102"/>
      <c r="D62" s="102"/>
      <c r="E62" s="102"/>
      <c r="F62" s="102"/>
      <c r="G62" s="102"/>
      <c r="H62" s="102"/>
      <c r="I62" s="102"/>
      <c r="J62" s="102"/>
      <c r="K62" s="102"/>
      <c r="L62" s="102"/>
    </row>
    <row r="63" spans="2:12" ht="12.75">
      <c r="B63" s="102"/>
      <c r="C63" s="102"/>
      <c r="D63" s="102"/>
      <c r="E63" s="102"/>
      <c r="F63" s="102"/>
      <c r="G63" s="102"/>
      <c r="H63" s="102"/>
      <c r="I63" s="102"/>
      <c r="J63" s="102"/>
      <c r="K63" s="102"/>
      <c r="L63" s="102"/>
    </row>
    <row r="64" spans="2:12" ht="12.75">
      <c r="B64" s="102"/>
      <c r="C64" s="102"/>
      <c r="D64" s="102"/>
      <c r="E64" s="102"/>
      <c r="F64" s="102"/>
      <c r="G64" s="102"/>
      <c r="H64" s="102"/>
      <c r="I64" s="102"/>
      <c r="J64" s="102"/>
      <c r="K64" s="102"/>
      <c r="L64" s="102"/>
    </row>
    <row r="65" spans="2:12" ht="12.75">
      <c r="B65" s="102"/>
      <c r="C65" s="102"/>
      <c r="D65" s="102"/>
      <c r="E65" s="102"/>
      <c r="F65" s="102"/>
      <c r="G65" s="102"/>
      <c r="H65" s="102"/>
      <c r="I65" s="102"/>
      <c r="J65" s="102"/>
      <c r="K65" s="102"/>
      <c r="L65" s="102"/>
    </row>
    <row r="66" spans="2:12" ht="12.75">
      <c r="B66" s="102"/>
      <c r="C66" s="102"/>
      <c r="D66" s="102"/>
      <c r="E66" s="102"/>
      <c r="F66" s="102"/>
      <c r="G66" s="102"/>
      <c r="H66" s="102"/>
      <c r="I66" s="102"/>
      <c r="J66" s="102"/>
      <c r="K66" s="102"/>
      <c r="L66" s="102"/>
    </row>
    <row r="67" spans="2:12" ht="12.75">
      <c r="B67" s="102"/>
      <c r="C67" s="102"/>
      <c r="D67" s="102"/>
      <c r="E67" s="102"/>
      <c r="F67" s="102"/>
      <c r="G67" s="102"/>
      <c r="H67" s="102"/>
      <c r="I67" s="102"/>
      <c r="J67" s="102"/>
      <c r="K67" s="102"/>
      <c r="L67" s="102"/>
    </row>
    <row r="68" spans="2:12" ht="12.75">
      <c r="B68" s="102"/>
      <c r="C68" s="102"/>
      <c r="D68" s="102"/>
      <c r="E68" s="102"/>
      <c r="F68" s="102"/>
      <c r="G68" s="102"/>
      <c r="H68" s="102"/>
      <c r="I68" s="102"/>
      <c r="J68" s="102"/>
      <c r="K68" s="102"/>
      <c r="L68" s="102"/>
    </row>
    <row r="69" spans="2:12" ht="12.75">
      <c r="B69" s="102"/>
      <c r="C69" s="102"/>
      <c r="D69" s="102"/>
      <c r="E69" s="102"/>
      <c r="F69" s="102"/>
      <c r="G69" s="102"/>
      <c r="H69" s="102"/>
      <c r="I69" s="102"/>
      <c r="J69" s="102"/>
      <c r="K69" s="102"/>
      <c r="L69" s="102"/>
    </row>
    <row r="70" spans="2:12" ht="12.75">
      <c r="B70" s="102"/>
      <c r="C70" s="102"/>
      <c r="D70" s="102"/>
      <c r="E70" s="102"/>
      <c r="F70" s="102"/>
      <c r="G70" s="102"/>
      <c r="H70" s="102"/>
      <c r="I70" s="102"/>
      <c r="J70" s="102"/>
      <c r="K70" s="102"/>
      <c r="L70" s="102"/>
    </row>
    <row r="71" spans="2:12" ht="12.75">
      <c r="B71" s="102"/>
      <c r="C71" s="102"/>
      <c r="D71" s="102"/>
      <c r="E71" s="102"/>
      <c r="F71" s="102"/>
      <c r="G71" s="102"/>
      <c r="H71" s="102"/>
      <c r="I71" s="102"/>
      <c r="J71" s="102"/>
      <c r="K71" s="102"/>
      <c r="L71" s="102"/>
    </row>
    <row r="72" spans="2:12" ht="12.75">
      <c r="B72" s="102"/>
      <c r="C72" s="102"/>
      <c r="D72" s="102"/>
      <c r="E72" s="102"/>
      <c r="F72" s="102"/>
      <c r="G72" s="102"/>
      <c r="H72" s="102"/>
      <c r="I72" s="102"/>
      <c r="J72" s="102"/>
      <c r="K72" s="102"/>
      <c r="L72" s="102"/>
    </row>
    <row r="73" spans="2:12" ht="12.75">
      <c r="B73" s="102"/>
      <c r="C73" s="102"/>
      <c r="D73" s="102"/>
      <c r="E73" s="102"/>
      <c r="F73" s="102"/>
      <c r="G73" s="102"/>
      <c r="H73" s="102"/>
      <c r="I73" s="102"/>
      <c r="J73" s="102"/>
      <c r="K73" s="102"/>
      <c r="L73" s="102"/>
    </row>
    <row r="74" spans="2:12" ht="12.75">
      <c r="B74" s="102"/>
      <c r="C74" s="102"/>
      <c r="D74" s="102"/>
      <c r="E74" s="102"/>
      <c r="F74" s="102"/>
      <c r="G74" s="102"/>
      <c r="H74" s="102"/>
      <c r="I74" s="102"/>
      <c r="J74" s="102"/>
      <c r="K74" s="102"/>
      <c r="L74" s="102"/>
    </row>
    <row r="75" spans="2:12" ht="12.75">
      <c r="B75" s="102"/>
      <c r="C75" s="102"/>
      <c r="D75" s="102"/>
      <c r="E75" s="102"/>
      <c r="F75" s="102"/>
      <c r="G75" s="102"/>
      <c r="H75" s="102"/>
      <c r="I75" s="102"/>
      <c r="J75" s="102"/>
      <c r="K75" s="102"/>
      <c r="L75" s="102"/>
    </row>
    <row r="76" spans="2:12" ht="12.75">
      <c r="B76" s="102"/>
      <c r="C76" s="102"/>
      <c r="D76" s="102"/>
      <c r="E76" s="102"/>
      <c r="F76" s="102"/>
      <c r="G76" s="102"/>
      <c r="H76" s="102"/>
      <c r="I76" s="102"/>
      <c r="J76" s="102"/>
      <c r="K76" s="102"/>
      <c r="L76" s="102"/>
    </row>
    <row r="77" spans="2:12" ht="12.75">
      <c r="B77" s="102"/>
      <c r="C77" s="102"/>
      <c r="D77" s="102"/>
      <c r="E77" s="102"/>
      <c r="F77" s="102"/>
      <c r="G77" s="102"/>
      <c r="H77" s="102"/>
      <c r="I77" s="102"/>
      <c r="J77" s="102"/>
      <c r="K77" s="102"/>
      <c r="L77" s="102"/>
    </row>
    <row r="78" spans="2:12" ht="12.75">
      <c r="B78" s="102"/>
      <c r="C78" s="102"/>
      <c r="D78" s="102"/>
      <c r="E78" s="102"/>
      <c r="F78" s="102"/>
      <c r="G78" s="102"/>
      <c r="H78" s="102"/>
      <c r="I78" s="102"/>
      <c r="J78" s="102"/>
      <c r="K78" s="102"/>
      <c r="L78" s="102"/>
    </row>
    <row r="79" spans="2:12" ht="12.75">
      <c r="B79" s="102"/>
      <c r="C79" s="102"/>
      <c r="D79" s="102"/>
      <c r="E79" s="102"/>
      <c r="F79" s="102"/>
      <c r="G79" s="102"/>
      <c r="H79" s="102"/>
      <c r="I79" s="102"/>
      <c r="J79" s="102"/>
      <c r="K79" s="102"/>
      <c r="L79" s="102"/>
    </row>
    <row r="80" spans="2:12" ht="12.75">
      <c r="B80" s="102"/>
      <c r="C80" s="102"/>
      <c r="D80" s="102"/>
      <c r="E80" s="102"/>
      <c r="F80" s="102"/>
      <c r="G80" s="102"/>
      <c r="H80" s="102"/>
      <c r="I80" s="102"/>
      <c r="J80" s="102"/>
      <c r="K80" s="102"/>
      <c r="L80" s="102"/>
    </row>
    <row r="81" spans="2:12" ht="12.75">
      <c r="B81" s="102"/>
      <c r="C81" s="102"/>
      <c r="D81" s="102"/>
      <c r="E81" s="102"/>
      <c r="F81" s="102"/>
      <c r="G81" s="102"/>
      <c r="H81" s="102"/>
      <c r="I81" s="102"/>
      <c r="J81" s="102"/>
      <c r="K81" s="102"/>
      <c r="L81" s="102"/>
    </row>
    <row r="82" spans="2:12" ht="12.75">
      <c r="B82" s="102"/>
      <c r="C82" s="102"/>
      <c r="D82" s="102"/>
      <c r="E82" s="102"/>
      <c r="F82" s="102"/>
      <c r="G82" s="102"/>
      <c r="H82" s="102"/>
      <c r="I82" s="102"/>
      <c r="J82" s="102"/>
      <c r="K82" s="102"/>
      <c r="L82" s="102"/>
    </row>
    <row r="83" spans="2:12" ht="12.75">
      <c r="B83" s="102"/>
      <c r="C83" s="102"/>
      <c r="D83" s="102"/>
      <c r="E83" s="102"/>
      <c r="F83" s="102"/>
      <c r="G83" s="102"/>
      <c r="H83" s="102"/>
      <c r="I83" s="102"/>
      <c r="J83" s="102"/>
      <c r="K83" s="102"/>
      <c r="L83" s="102"/>
    </row>
    <row r="84" spans="2:12" ht="12.75">
      <c r="B84" s="102"/>
      <c r="C84" s="102"/>
      <c r="D84" s="102"/>
      <c r="E84" s="102"/>
      <c r="F84" s="102"/>
      <c r="G84" s="102"/>
      <c r="H84" s="102"/>
      <c r="I84" s="102"/>
      <c r="J84" s="102"/>
      <c r="K84" s="102"/>
      <c r="L84" s="102"/>
    </row>
    <row r="85" spans="2:12" ht="12.75">
      <c r="B85" s="102"/>
      <c r="C85" s="102"/>
      <c r="D85" s="102"/>
      <c r="E85" s="102"/>
      <c r="F85" s="102"/>
      <c r="G85" s="102"/>
      <c r="H85" s="102"/>
      <c r="I85" s="102"/>
      <c r="J85" s="102"/>
      <c r="K85" s="102"/>
      <c r="L85" s="102"/>
    </row>
    <row r="86" spans="2:12" ht="12.75">
      <c r="B86" s="102"/>
      <c r="C86" s="102"/>
      <c r="D86" s="102"/>
      <c r="E86" s="102"/>
      <c r="F86" s="102"/>
      <c r="G86" s="102"/>
      <c r="H86" s="102"/>
      <c r="I86" s="102"/>
      <c r="J86" s="102"/>
      <c r="K86" s="102"/>
      <c r="L86" s="102"/>
    </row>
    <row r="87" spans="2:12" ht="12.75">
      <c r="B87" s="102"/>
      <c r="C87" s="102"/>
      <c r="D87" s="102"/>
      <c r="E87" s="102"/>
      <c r="F87" s="102"/>
      <c r="G87" s="102"/>
      <c r="H87" s="102"/>
      <c r="I87" s="102"/>
      <c r="J87" s="102"/>
      <c r="K87" s="102"/>
      <c r="L87" s="102"/>
    </row>
    <row r="88" spans="2:12" ht="12.75">
      <c r="B88" s="102"/>
      <c r="C88" s="102"/>
      <c r="D88" s="102"/>
      <c r="E88" s="102"/>
      <c r="F88" s="102"/>
      <c r="G88" s="102"/>
      <c r="H88" s="102"/>
      <c r="I88" s="102"/>
      <c r="J88" s="102"/>
      <c r="K88" s="102"/>
      <c r="L88" s="102"/>
    </row>
    <row r="89" spans="2:12" ht="12.75">
      <c r="B89" s="102"/>
      <c r="C89" s="102"/>
      <c r="D89" s="102"/>
      <c r="E89" s="102"/>
      <c r="F89" s="102"/>
      <c r="G89" s="102"/>
      <c r="H89" s="102"/>
      <c r="I89" s="102"/>
      <c r="J89" s="102"/>
      <c r="K89" s="102"/>
      <c r="L89" s="102"/>
    </row>
    <row r="90" spans="2:12" ht="12.75">
      <c r="B90" s="102"/>
      <c r="C90" s="102"/>
      <c r="D90" s="102"/>
      <c r="E90" s="102"/>
      <c r="F90" s="102"/>
      <c r="G90" s="102"/>
      <c r="H90" s="102"/>
      <c r="I90" s="102"/>
      <c r="J90" s="102"/>
      <c r="K90" s="102"/>
      <c r="L90" s="102"/>
    </row>
    <row r="91" spans="2:12" ht="12.75">
      <c r="B91" s="102"/>
      <c r="C91" s="102"/>
      <c r="D91" s="102"/>
      <c r="E91" s="102"/>
      <c r="F91" s="102"/>
      <c r="G91" s="102"/>
      <c r="H91" s="102"/>
      <c r="I91" s="102"/>
      <c r="J91" s="102"/>
      <c r="K91" s="102"/>
      <c r="L91" s="102"/>
    </row>
    <row r="92" spans="2:12" ht="12.75">
      <c r="B92" s="102"/>
      <c r="C92" s="102"/>
      <c r="D92" s="102"/>
      <c r="E92" s="102"/>
      <c r="F92" s="102"/>
      <c r="G92" s="102"/>
      <c r="H92" s="102"/>
      <c r="I92" s="102"/>
      <c r="J92" s="102"/>
      <c r="K92" s="102"/>
      <c r="L92" s="102"/>
    </row>
    <row r="93" spans="2:12" ht="12.75">
      <c r="B93" s="102"/>
      <c r="C93" s="102"/>
      <c r="D93" s="102"/>
      <c r="E93" s="102"/>
      <c r="F93" s="102"/>
      <c r="G93" s="102"/>
      <c r="H93" s="102"/>
      <c r="I93" s="102"/>
      <c r="J93" s="102"/>
      <c r="K93" s="102"/>
      <c r="L93" s="102"/>
    </row>
    <row r="94" spans="2:12" ht="12.75">
      <c r="B94" s="102"/>
      <c r="C94" s="102"/>
      <c r="D94" s="102"/>
      <c r="E94" s="102"/>
      <c r="F94" s="102"/>
      <c r="G94" s="102"/>
      <c r="H94" s="102"/>
      <c r="I94" s="102"/>
      <c r="J94" s="102"/>
      <c r="K94" s="102"/>
      <c r="L94" s="102"/>
    </row>
    <row r="95" spans="2:12" ht="12.75">
      <c r="B95" s="102"/>
      <c r="C95" s="102"/>
      <c r="D95" s="102"/>
      <c r="E95" s="102"/>
      <c r="F95" s="102"/>
      <c r="G95" s="102"/>
      <c r="H95" s="102"/>
      <c r="I95" s="102"/>
      <c r="J95" s="102"/>
      <c r="K95" s="102"/>
      <c r="L95" s="102"/>
    </row>
    <row r="96" spans="2:12" ht="12.75">
      <c r="B96" s="102"/>
      <c r="C96" s="102"/>
      <c r="D96" s="102"/>
      <c r="E96" s="102"/>
      <c r="F96" s="102"/>
      <c r="G96" s="102"/>
      <c r="H96" s="102"/>
      <c r="I96" s="102"/>
      <c r="J96" s="102"/>
      <c r="K96" s="102"/>
      <c r="L96" s="102"/>
    </row>
    <row r="97" spans="2:12" ht="12.75">
      <c r="B97" s="102"/>
      <c r="C97" s="102"/>
      <c r="D97" s="102"/>
      <c r="E97" s="102"/>
      <c r="F97" s="102"/>
      <c r="G97" s="102"/>
      <c r="H97" s="102"/>
      <c r="I97" s="102"/>
      <c r="J97" s="102"/>
      <c r="K97" s="102"/>
      <c r="L97" s="102"/>
    </row>
    <row r="98" spans="2:12" ht="12.75">
      <c r="B98" s="102"/>
      <c r="C98" s="102"/>
      <c r="D98" s="102"/>
      <c r="E98" s="102"/>
      <c r="F98" s="102"/>
      <c r="G98" s="102"/>
      <c r="H98" s="102"/>
      <c r="I98" s="102"/>
      <c r="J98" s="102"/>
      <c r="K98" s="102"/>
      <c r="L98" s="102"/>
    </row>
    <row r="99" spans="2:12" ht="12.75">
      <c r="B99" s="102"/>
      <c r="C99" s="102"/>
      <c r="D99" s="102"/>
      <c r="E99" s="102"/>
      <c r="F99" s="102"/>
      <c r="G99" s="102"/>
      <c r="H99" s="102"/>
      <c r="I99" s="102"/>
      <c r="J99" s="102"/>
      <c r="K99" s="102"/>
      <c r="L99" s="102"/>
    </row>
    <row r="100" spans="2:12" ht="12.75">
      <c r="B100" s="102"/>
      <c r="C100" s="102"/>
      <c r="D100" s="102"/>
      <c r="E100" s="102"/>
      <c r="F100" s="102"/>
      <c r="G100" s="102"/>
      <c r="H100" s="102"/>
      <c r="I100" s="102"/>
      <c r="J100" s="102"/>
      <c r="K100" s="102"/>
      <c r="L100" s="102"/>
    </row>
    <row r="101" spans="2:12" ht="12.75">
      <c r="B101" s="102"/>
      <c r="C101" s="102"/>
      <c r="D101" s="102"/>
      <c r="E101" s="102"/>
      <c r="F101" s="102"/>
      <c r="G101" s="102"/>
      <c r="H101" s="102"/>
      <c r="I101" s="102"/>
      <c r="J101" s="102"/>
      <c r="K101" s="102"/>
      <c r="L101" s="102"/>
    </row>
    <row r="102" spans="2:12" ht="12.75">
      <c r="B102" s="102"/>
      <c r="C102" s="102"/>
      <c r="D102" s="102"/>
      <c r="E102" s="102"/>
      <c r="F102" s="102"/>
      <c r="G102" s="102"/>
      <c r="H102" s="102"/>
      <c r="I102" s="102"/>
      <c r="J102" s="102"/>
      <c r="K102" s="102"/>
      <c r="L102" s="102"/>
    </row>
    <row r="103" spans="2:12" ht="12.75">
      <c r="B103" s="102"/>
      <c r="C103" s="102"/>
      <c r="D103" s="102"/>
      <c r="E103" s="102"/>
      <c r="F103" s="102"/>
      <c r="G103" s="102"/>
      <c r="H103" s="102"/>
      <c r="I103" s="102"/>
      <c r="J103" s="102"/>
      <c r="K103" s="102"/>
      <c r="L103" s="102"/>
    </row>
    <row r="104" spans="2:12" ht="12.75">
      <c r="B104" s="102"/>
      <c r="C104" s="102"/>
      <c r="D104" s="102"/>
      <c r="E104" s="102"/>
      <c r="F104" s="102"/>
      <c r="G104" s="102"/>
      <c r="H104" s="102"/>
      <c r="I104" s="102"/>
      <c r="J104" s="102"/>
      <c r="K104" s="102"/>
      <c r="L104" s="102"/>
    </row>
    <row r="105" spans="2:12" ht="12.75">
      <c r="B105" s="102"/>
      <c r="C105" s="102"/>
      <c r="D105" s="102"/>
      <c r="E105" s="102"/>
      <c r="F105" s="102"/>
      <c r="G105" s="102"/>
      <c r="H105" s="102"/>
      <c r="I105" s="102"/>
      <c r="J105" s="102"/>
      <c r="K105" s="102"/>
      <c r="L105" s="102"/>
    </row>
    <row r="106" spans="2:12" ht="12.75">
      <c r="B106" s="102"/>
      <c r="C106" s="102"/>
      <c r="D106" s="102"/>
      <c r="E106" s="102"/>
      <c r="F106" s="102"/>
      <c r="G106" s="102"/>
      <c r="H106" s="102"/>
      <c r="I106" s="102"/>
      <c r="J106" s="102"/>
      <c r="K106" s="102"/>
      <c r="L106" s="102"/>
    </row>
    <row r="107" spans="2:12" ht="12.75">
      <c r="B107" s="102"/>
      <c r="C107" s="102"/>
      <c r="D107" s="102"/>
      <c r="E107" s="102"/>
      <c r="F107" s="102"/>
      <c r="G107" s="102"/>
      <c r="H107" s="102"/>
      <c r="I107" s="102"/>
      <c r="J107" s="102"/>
      <c r="K107" s="102"/>
      <c r="L107" s="102"/>
    </row>
    <row r="108" spans="2:12" ht="12.75">
      <c r="B108" s="102"/>
      <c r="C108" s="102"/>
      <c r="D108" s="102"/>
      <c r="E108" s="102"/>
      <c r="F108" s="102"/>
      <c r="G108" s="102"/>
      <c r="H108" s="102"/>
      <c r="I108" s="102"/>
      <c r="J108" s="102"/>
      <c r="K108" s="102"/>
      <c r="L108" s="102"/>
    </row>
    <row r="109" spans="2:12" ht="12.75">
      <c r="B109" s="102"/>
      <c r="C109" s="102"/>
      <c r="D109" s="102"/>
      <c r="E109" s="102"/>
      <c r="F109" s="102"/>
      <c r="G109" s="102"/>
      <c r="H109" s="102"/>
      <c r="I109" s="102"/>
      <c r="J109" s="102"/>
      <c r="K109" s="102"/>
      <c r="L109" s="102"/>
    </row>
    <row r="110" spans="2:12" ht="12.75">
      <c r="B110" s="102"/>
      <c r="C110" s="102"/>
      <c r="D110" s="102"/>
      <c r="E110" s="102"/>
      <c r="F110" s="102"/>
      <c r="G110" s="102"/>
      <c r="H110" s="102"/>
      <c r="I110" s="102"/>
      <c r="J110" s="102"/>
      <c r="K110" s="102"/>
      <c r="L110" s="102"/>
    </row>
    <row r="111" spans="2:12" ht="12.75">
      <c r="B111" s="102"/>
      <c r="C111" s="102"/>
      <c r="D111" s="102"/>
      <c r="E111" s="102"/>
      <c r="F111" s="102"/>
      <c r="G111" s="102"/>
      <c r="H111" s="102"/>
      <c r="I111" s="102"/>
      <c r="J111" s="102"/>
      <c r="K111" s="102"/>
      <c r="L111" s="102"/>
    </row>
    <row r="112" spans="2:12" ht="12.75">
      <c r="B112" s="102"/>
      <c r="C112" s="102"/>
      <c r="D112" s="102"/>
      <c r="E112" s="102"/>
      <c r="F112" s="102"/>
      <c r="G112" s="102"/>
      <c r="H112" s="102"/>
      <c r="I112" s="102"/>
      <c r="J112" s="102"/>
      <c r="K112" s="102"/>
      <c r="L112" s="102"/>
    </row>
    <row r="113" spans="2:12" ht="12.75">
      <c r="B113" s="102"/>
      <c r="C113" s="102"/>
      <c r="D113" s="102"/>
      <c r="E113" s="102"/>
      <c r="F113" s="102"/>
      <c r="G113" s="102"/>
      <c r="H113" s="102"/>
      <c r="I113" s="102"/>
      <c r="J113" s="102"/>
      <c r="K113" s="102"/>
      <c r="L113" s="102"/>
    </row>
    <row r="114" spans="2:12" ht="12.75">
      <c r="B114" s="102"/>
      <c r="C114" s="102"/>
      <c r="D114" s="102"/>
      <c r="E114" s="102"/>
      <c r="F114" s="102"/>
      <c r="G114" s="102"/>
      <c r="H114" s="102"/>
      <c r="I114" s="102"/>
      <c r="J114" s="102"/>
      <c r="K114" s="102"/>
      <c r="L114" s="102"/>
    </row>
    <row r="115" spans="2:12" ht="12.75">
      <c r="B115" s="102"/>
      <c r="C115" s="102"/>
      <c r="D115" s="102"/>
      <c r="E115" s="102"/>
      <c r="F115" s="102"/>
      <c r="G115" s="102"/>
      <c r="H115" s="102"/>
      <c r="I115" s="102"/>
      <c r="J115" s="102"/>
      <c r="K115" s="102"/>
      <c r="L115" s="102"/>
    </row>
    <row r="116" spans="2:12" ht="12.75">
      <c r="B116" s="102"/>
      <c r="C116" s="102"/>
      <c r="D116" s="102"/>
      <c r="E116" s="102"/>
      <c r="F116" s="102"/>
      <c r="G116" s="102"/>
      <c r="H116" s="102"/>
      <c r="I116" s="102"/>
      <c r="J116" s="102"/>
      <c r="K116" s="102"/>
      <c r="L116" s="102"/>
    </row>
    <row r="117" spans="2:12" ht="12.75">
      <c r="B117" s="102"/>
      <c r="C117" s="102"/>
      <c r="D117" s="102"/>
      <c r="E117" s="102"/>
      <c r="F117" s="102"/>
      <c r="G117" s="102"/>
      <c r="H117" s="102"/>
      <c r="I117" s="102"/>
      <c r="J117" s="102"/>
      <c r="K117" s="102"/>
      <c r="L117" s="102"/>
    </row>
    <row r="118" spans="2:12" ht="12.75">
      <c r="B118" s="102"/>
      <c r="C118" s="102"/>
      <c r="D118" s="102"/>
      <c r="E118" s="102"/>
      <c r="F118" s="102"/>
      <c r="G118" s="102"/>
      <c r="H118" s="102"/>
      <c r="I118" s="102"/>
      <c r="J118" s="102"/>
      <c r="K118" s="102"/>
      <c r="L118" s="102"/>
    </row>
    <row r="119" spans="2:12" ht="12.75">
      <c r="B119" s="102"/>
      <c r="C119" s="102"/>
      <c r="D119" s="102"/>
      <c r="E119" s="102"/>
      <c r="F119" s="102"/>
      <c r="G119" s="102"/>
      <c r="H119" s="102"/>
      <c r="I119" s="102"/>
      <c r="J119" s="102"/>
      <c r="K119" s="102"/>
      <c r="L119" s="102"/>
    </row>
    <row r="120" spans="2:12" ht="12.75">
      <c r="B120" s="102"/>
      <c r="C120" s="102"/>
      <c r="D120" s="102"/>
      <c r="E120" s="102"/>
      <c r="F120" s="102"/>
      <c r="G120" s="102"/>
      <c r="H120" s="102"/>
      <c r="I120" s="102"/>
      <c r="J120" s="102"/>
      <c r="K120" s="102"/>
      <c r="L120" s="102"/>
    </row>
    <row r="121" spans="2:12" ht="12.75">
      <c r="B121" s="102"/>
      <c r="C121" s="102"/>
      <c r="D121" s="102"/>
      <c r="E121" s="102"/>
      <c r="F121" s="102"/>
      <c r="G121" s="102"/>
      <c r="H121" s="102"/>
      <c r="I121" s="102"/>
      <c r="J121" s="102"/>
      <c r="K121" s="102"/>
      <c r="L121" s="102"/>
    </row>
    <row r="122" spans="2:12" ht="12.75">
      <c r="B122" s="102"/>
      <c r="C122" s="102"/>
      <c r="D122" s="102"/>
      <c r="E122" s="102"/>
      <c r="F122" s="102"/>
      <c r="G122" s="102"/>
      <c r="H122" s="102"/>
      <c r="I122" s="102"/>
      <c r="J122" s="102"/>
      <c r="K122" s="102"/>
      <c r="L122" s="102"/>
    </row>
    <row r="123" spans="2:12" ht="12.75">
      <c r="B123" s="102"/>
      <c r="C123" s="102"/>
      <c r="D123" s="102"/>
      <c r="E123" s="102"/>
      <c r="F123" s="102"/>
      <c r="G123" s="102"/>
      <c r="H123" s="102"/>
      <c r="I123" s="102"/>
      <c r="J123" s="102"/>
      <c r="K123" s="102"/>
      <c r="L123" s="102"/>
    </row>
    <row r="124" spans="2:12" ht="12.75">
      <c r="B124" s="102"/>
      <c r="C124" s="102"/>
      <c r="D124" s="102"/>
      <c r="E124" s="102"/>
      <c r="F124" s="102"/>
      <c r="G124" s="102"/>
      <c r="H124" s="102"/>
      <c r="I124" s="102"/>
      <c r="J124" s="102"/>
      <c r="K124" s="102"/>
      <c r="L124" s="102"/>
    </row>
    <row r="125" spans="2:12" ht="12.75">
      <c r="B125" s="102"/>
      <c r="C125" s="102"/>
      <c r="D125" s="102"/>
      <c r="E125" s="102"/>
      <c r="F125" s="102"/>
      <c r="G125" s="102"/>
      <c r="H125" s="102"/>
      <c r="I125" s="102"/>
      <c r="J125" s="102"/>
      <c r="K125" s="102"/>
      <c r="L125" s="102"/>
    </row>
    <row r="126" spans="2:12" ht="12.75">
      <c r="B126" s="102"/>
      <c r="C126" s="102"/>
      <c r="D126" s="102"/>
      <c r="E126" s="102"/>
      <c r="F126" s="102"/>
      <c r="G126" s="102"/>
      <c r="H126" s="102"/>
      <c r="I126" s="102"/>
      <c r="J126" s="102"/>
      <c r="K126" s="102"/>
      <c r="L126" s="102"/>
    </row>
    <row r="127" spans="2:12" ht="12.75">
      <c r="B127" s="102"/>
      <c r="C127" s="102"/>
      <c r="D127" s="102"/>
      <c r="E127" s="102"/>
      <c r="F127" s="102"/>
      <c r="G127" s="102"/>
      <c r="H127" s="102"/>
      <c r="I127" s="102"/>
      <c r="J127" s="102"/>
      <c r="K127" s="102"/>
      <c r="L127" s="102"/>
    </row>
    <row r="128" spans="2:12" ht="12.75">
      <c r="B128" s="102"/>
      <c r="C128" s="102"/>
      <c r="D128" s="102"/>
      <c r="E128" s="102"/>
      <c r="F128" s="102"/>
      <c r="G128" s="102"/>
      <c r="H128" s="102"/>
      <c r="I128" s="102"/>
      <c r="J128" s="102"/>
      <c r="K128" s="102"/>
      <c r="L128" s="102"/>
    </row>
    <row r="129" spans="2:12" ht="12.75">
      <c r="B129" s="102"/>
      <c r="C129" s="102"/>
      <c r="D129" s="102"/>
      <c r="E129" s="102"/>
      <c r="F129" s="102"/>
      <c r="G129" s="102"/>
      <c r="H129" s="102"/>
      <c r="I129" s="102"/>
      <c r="J129" s="102"/>
      <c r="K129" s="102"/>
      <c r="L129" s="102"/>
    </row>
    <row r="130" spans="2:12" ht="12.75">
      <c r="B130" s="102"/>
      <c r="C130" s="102"/>
      <c r="D130" s="102"/>
      <c r="E130" s="102"/>
      <c r="F130" s="102"/>
      <c r="G130" s="102"/>
      <c r="H130" s="102"/>
      <c r="I130" s="102"/>
      <c r="J130" s="102"/>
      <c r="K130" s="102"/>
      <c r="L130" s="102"/>
    </row>
    <row r="131" spans="2:12" ht="12.75">
      <c r="B131" s="102"/>
      <c r="C131" s="102"/>
      <c r="D131" s="102"/>
      <c r="E131" s="102"/>
      <c r="F131" s="102"/>
      <c r="G131" s="102"/>
      <c r="H131" s="102"/>
      <c r="I131" s="102"/>
      <c r="J131" s="102"/>
      <c r="K131" s="102"/>
      <c r="L131" s="102"/>
    </row>
    <row r="132" spans="2:12" ht="12.75">
      <c r="B132" s="102"/>
      <c r="C132" s="102"/>
      <c r="D132" s="102"/>
      <c r="E132" s="102"/>
      <c r="F132" s="102"/>
      <c r="G132" s="102"/>
      <c r="H132" s="102"/>
      <c r="I132" s="102"/>
      <c r="J132" s="102"/>
      <c r="K132" s="102"/>
      <c r="L132" s="102"/>
    </row>
    <row r="133" spans="2:12" ht="12.75">
      <c r="B133" s="102"/>
      <c r="C133" s="102"/>
      <c r="D133" s="102"/>
      <c r="E133" s="102"/>
      <c r="F133" s="102"/>
      <c r="G133" s="102"/>
      <c r="H133" s="102"/>
      <c r="I133" s="102"/>
      <c r="J133" s="102"/>
      <c r="K133" s="102"/>
      <c r="L133" s="102"/>
    </row>
    <row r="134" spans="2:12" ht="12.75">
      <c r="B134" s="102"/>
      <c r="C134" s="102"/>
      <c r="D134" s="102"/>
      <c r="E134" s="102"/>
      <c r="F134" s="102"/>
      <c r="G134" s="102"/>
      <c r="H134" s="102"/>
      <c r="I134" s="102"/>
      <c r="J134" s="102"/>
      <c r="K134" s="102"/>
      <c r="L134" s="102"/>
    </row>
    <row r="135" spans="2:12" ht="12.75">
      <c r="B135" s="102"/>
      <c r="C135" s="102"/>
      <c r="D135" s="102"/>
      <c r="E135" s="102"/>
      <c r="F135" s="102"/>
      <c r="G135" s="102"/>
      <c r="H135" s="102"/>
      <c r="I135" s="102"/>
      <c r="J135" s="102"/>
      <c r="K135" s="102"/>
      <c r="L135" s="102"/>
    </row>
    <row r="136" spans="2:12" ht="12.75">
      <c r="B136" s="102"/>
      <c r="C136" s="102"/>
      <c r="D136" s="102"/>
      <c r="E136" s="102"/>
      <c r="F136" s="102"/>
      <c r="G136" s="102"/>
      <c r="H136" s="102"/>
      <c r="I136" s="102"/>
      <c r="J136" s="102"/>
      <c r="K136" s="102"/>
      <c r="L136" s="102"/>
    </row>
    <row r="137" spans="2:12" ht="12.75">
      <c r="B137" s="102"/>
      <c r="C137" s="102"/>
      <c r="D137" s="102"/>
      <c r="E137" s="102"/>
      <c r="F137" s="102"/>
      <c r="G137" s="102"/>
      <c r="H137" s="102"/>
      <c r="I137" s="102"/>
      <c r="J137" s="102"/>
      <c r="K137" s="102"/>
      <c r="L137" s="102"/>
    </row>
    <row r="138" spans="2:12" ht="12.75">
      <c r="B138" s="102"/>
      <c r="C138" s="102"/>
      <c r="D138" s="102"/>
      <c r="E138" s="102"/>
      <c r="F138" s="102"/>
      <c r="G138" s="102"/>
      <c r="H138" s="102"/>
      <c r="I138" s="102"/>
      <c r="J138" s="102"/>
      <c r="K138" s="102"/>
      <c r="L138" s="102"/>
    </row>
    <row r="139" spans="2:12" ht="12.75">
      <c r="B139" s="102"/>
      <c r="C139" s="102"/>
      <c r="D139" s="102"/>
      <c r="E139" s="102"/>
      <c r="F139" s="102"/>
      <c r="G139" s="102"/>
      <c r="H139" s="102"/>
      <c r="I139" s="102"/>
      <c r="J139" s="102"/>
      <c r="K139" s="102"/>
      <c r="L139" s="102"/>
    </row>
    <row r="140" spans="2:12" ht="12.75">
      <c r="B140" s="102"/>
      <c r="C140" s="102"/>
      <c r="D140" s="102"/>
      <c r="E140" s="102"/>
      <c r="F140" s="102"/>
      <c r="G140" s="102"/>
      <c r="H140" s="102"/>
      <c r="I140" s="102"/>
      <c r="J140" s="102"/>
      <c r="K140" s="102"/>
      <c r="L140" s="102"/>
    </row>
    <row r="141" spans="2:12" ht="12.75">
      <c r="B141" s="102"/>
      <c r="C141" s="102"/>
      <c r="D141" s="102"/>
      <c r="E141" s="102"/>
      <c r="F141" s="102"/>
      <c r="G141" s="102"/>
      <c r="H141" s="102"/>
      <c r="I141" s="102"/>
      <c r="J141" s="102"/>
      <c r="K141" s="102"/>
      <c r="L141" s="102"/>
    </row>
    <row r="142" spans="2:12" ht="12.75">
      <c r="B142" s="102"/>
      <c r="C142" s="102"/>
      <c r="D142" s="102"/>
      <c r="E142" s="102"/>
      <c r="F142" s="102"/>
      <c r="G142" s="102"/>
      <c r="H142" s="102"/>
      <c r="I142" s="102"/>
      <c r="J142" s="102"/>
      <c r="K142" s="102"/>
      <c r="L142" s="102"/>
    </row>
    <row r="143" spans="2:12" ht="12.75">
      <c r="B143" s="102"/>
      <c r="C143" s="102"/>
      <c r="D143" s="102"/>
      <c r="E143" s="102"/>
      <c r="F143" s="102"/>
      <c r="G143" s="102"/>
      <c r="H143" s="102"/>
      <c r="I143" s="102"/>
      <c r="J143" s="102"/>
      <c r="K143" s="102"/>
      <c r="L143" s="102"/>
    </row>
    <row r="144" spans="2:12" ht="12.75">
      <c r="B144" s="102"/>
      <c r="C144" s="102"/>
      <c r="D144" s="102"/>
      <c r="E144" s="102"/>
      <c r="F144" s="102"/>
      <c r="G144" s="102"/>
      <c r="H144" s="102"/>
      <c r="I144" s="102"/>
      <c r="J144" s="102"/>
      <c r="K144" s="102"/>
      <c r="L144" s="102"/>
    </row>
    <row r="145" spans="2:12" ht="12.75">
      <c r="B145" s="102"/>
      <c r="C145" s="102"/>
      <c r="D145" s="102"/>
      <c r="E145" s="102"/>
      <c r="F145" s="102"/>
      <c r="G145" s="102"/>
      <c r="H145" s="102"/>
      <c r="I145" s="102"/>
      <c r="J145" s="102"/>
      <c r="K145" s="102"/>
      <c r="L145" s="102"/>
    </row>
    <row r="146" spans="2:12" ht="12.75">
      <c r="B146" s="102"/>
      <c r="C146" s="102"/>
      <c r="D146" s="102"/>
      <c r="E146" s="102"/>
      <c r="F146" s="102"/>
      <c r="G146" s="102"/>
      <c r="H146" s="102"/>
      <c r="I146" s="102"/>
      <c r="J146" s="102"/>
      <c r="K146" s="102"/>
      <c r="L146" s="102"/>
    </row>
    <row r="147" spans="2:12" ht="12.75">
      <c r="B147" s="102"/>
      <c r="C147" s="102"/>
      <c r="D147" s="102"/>
      <c r="E147" s="102"/>
      <c r="F147" s="102"/>
      <c r="G147" s="102"/>
      <c r="H147" s="102"/>
      <c r="I147" s="102"/>
      <c r="J147" s="102"/>
      <c r="K147" s="102"/>
      <c r="L147" s="102"/>
    </row>
    <row r="148" spans="2:12" ht="12.75">
      <c r="B148" s="102"/>
      <c r="C148" s="102"/>
      <c r="D148" s="102"/>
      <c r="E148" s="102"/>
      <c r="F148" s="102"/>
      <c r="G148" s="102"/>
      <c r="H148" s="102"/>
      <c r="I148" s="102"/>
      <c r="J148" s="102"/>
      <c r="K148" s="102"/>
      <c r="L148" s="102"/>
    </row>
    <row r="149" spans="2:12" ht="12.75">
      <c r="B149" s="102"/>
      <c r="C149" s="102"/>
      <c r="D149" s="102"/>
      <c r="E149" s="102"/>
      <c r="F149" s="102"/>
      <c r="G149" s="102"/>
      <c r="H149" s="102"/>
      <c r="I149" s="102"/>
      <c r="J149" s="102"/>
      <c r="K149" s="102"/>
      <c r="L149" s="102"/>
    </row>
    <row r="150" spans="2:12" ht="12.75">
      <c r="B150" s="102"/>
      <c r="C150" s="102"/>
      <c r="D150" s="102"/>
      <c r="E150" s="102"/>
      <c r="F150" s="102"/>
      <c r="G150" s="102"/>
      <c r="H150" s="102"/>
      <c r="I150" s="102"/>
      <c r="J150" s="102"/>
      <c r="K150" s="102"/>
      <c r="L150" s="102"/>
    </row>
    <row r="151" spans="2:12" ht="12.75">
      <c r="B151" s="102"/>
      <c r="C151" s="102"/>
      <c r="D151" s="102"/>
      <c r="E151" s="102"/>
      <c r="F151" s="102"/>
      <c r="G151" s="102"/>
      <c r="H151" s="102"/>
      <c r="I151" s="102"/>
      <c r="J151" s="102"/>
      <c r="K151" s="102"/>
      <c r="L151" s="102"/>
    </row>
    <row r="152" spans="2:12" ht="12.75">
      <c r="B152" s="102"/>
      <c r="C152" s="102"/>
      <c r="D152" s="102"/>
      <c r="E152" s="102"/>
      <c r="F152" s="102"/>
      <c r="G152" s="102"/>
      <c r="H152" s="102"/>
      <c r="I152" s="102"/>
      <c r="J152" s="102"/>
      <c r="K152" s="102"/>
      <c r="L152" s="102"/>
    </row>
    <row r="153" spans="2:12" ht="12.75">
      <c r="B153" s="102"/>
      <c r="C153" s="102"/>
      <c r="D153" s="102"/>
      <c r="E153" s="102"/>
      <c r="F153" s="102"/>
      <c r="G153" s="102"/>
      <c r="H153" s="102"/>
      <c r="I153" s="102"/>
      <c r="J153" s="102"/>
      <c r="K153" s="102"/>
      <c r="L153" s="102"/>
    </row>
    <row r="154" spans="2:12" ht="12.75">
      <c r="B154" s="102"/>
      <c r="C154" s="102"/>
      <c r="D154" s="102"/>
      <c r="E154" s="102"/>
      <c r="F154" s="102"/>
      <c r="G154" s="102"/>
      <c r="H154" s="102"/>
      <c r="I154" s="102"/>
      <c r="J154" s="102"/>
      <c r="K154" s="102"/>
      <c r="L154" s="102"/>
    </row>
    <row r="155" spans="2:12" ht="12.75">
      <c r="B155" s="102"/>
      <c r="C155" s="102"/>
      <c r="D155" s="102"/>
      <c r="E155" s="102"/>
      <c r="F155" s="102"/>
      <c r="G155" s="102"/>
      <c r="H155" s="102"/>
      <c r="I155" s="102"/>
      <c r="J155" s="102"/>
      <c r="K155" s="102"/>
      <c r="L155" s="102"/>
    </row>
    <row r="156" spans="2:12" ht="12.75">
      <c r="B156" s="102"/>
      <c r="C156" s="102"/>
      <c r="D156" s="102"/>
      <c r="E156" s="102"/>
      <c r="F156" s="102"/>
      <c r="G156" s="102"/>
      <c r="H156" s="102"/>
      <c r="I156" s="102"/>
      <c r="J156" s="102"/>
      <c r="K156" s="102"/>
      <c r="L156" s="102"/>
    </row>
    <row r="157" spans="2:12" ht="12.75">
      <c r="B157" s="102"/>
      <c r="C157" s="102"/>
      <c r="D157" s="102"/>
      <c r="E157" s="102"/>
      <c r="F157" s="102"/>
      <c r="G157" s="102"/>
      <c r="H157" s="102"/>
      <c r="I157" s="102"/>
      <c r="J157" s="102"/>
      <c r="K157" s="102"/>
      <c r="L157" s="102"/>
    </row>
    <row r="158" spans="2:12" ht="12.75">
      <c r="B158" s="102"/>
      <c r="C158" s="102"/>
      <c r="D158" s="102"/>
      <c r="E158" s="102"/>
      <c r="F158" s="102"/>
      <c r="G158" s="102"/>
      <c r="H158" s="102"/>
      <c r="I158" s="102"/>
      <c r="J158" s="102"/>
      <c r="K158" s="102"/>
      <c r="L158" s="102"/>
    </row>
    <row r="159" spans="2:12" ht="12.75">
      <c r="B159" s="102"/>
      <c r="C159" s="102"/>
      <c r="D159" s="102"/>
      <c r="E159" s="102"/>
      <c r="F159" s="102"/>
      <c r="G159" s="102"/>
      <c r="H159" s="102"/>
      <c r="I159" s="102"/>
      <c r="J159" s="102"/>
      <c r="K159" s="102"/>
      <c r="L159" s="102"/>
    </row>
    <row r="160" spans="2:12" ht="12.75">
      <c r="B160" s="102"/>
      <c r="C160" s="102"/>
      <c r="D160" s="102"/>
      <c r="E160" s="102"/>
      <c r="F160" s="102"/>
      <c r="G160" s="102"/>
      <c r="H160" s="102"/>
      <c r="I160" s="102"/>
      <c r="J160" s="102"/>
      <c r="K160" s="102"/>
      <c r="L160" s="102"/>
    </row>
    <row r="161" spans="2:12" ht="12.75">
      <c r="B161" s="102"/>
      <c r="C161" s="102"/>
      <c r="D161" s="102"/>
      <c r="E161" s="102"/>
      <c r="F161" s="102"/>
      <c r="G161" s="102"/>
      <c r="H161" s="102"/>
      <c r="I161" s="102"/>
      <c r="J161" s="102"/>
      <c r="K161" s="102"/>
      <c r="L161" s="102"/>
    </row>
    <row r="162" spans="2:12" ht="12.75">
      <c r="B162" s="102"/>
      <c r="C162" s="102"/>
      <c r="D162" s="102"/>
      <c r="E162" s="102"/>
      <c r="F162" s="102"/>
      <c r="G162" s="102"/>
      <c r="H162" s="102"/>
      <c r="I162" s="102"/>
      <c r="J162" s="102"/>
      <c r="K162" s="102"/>
      <c r="L162" s="102"/>
    </row>
    <row r="163" spans="2:12" ht="12.75">
      <c r="B163" s="102"/>
      <c r="C163" s="102"/>
      <c r="D163" s="102"/>
      <c r="E163" s="102"/>
      <c r="F163" s="102"/>
      <c r="G163" s="102"/>
      <c r="H163" s="102"/>
      <c r="I163" s="102"/>
      <c r="J163" s="102"/>
      <c r="K163" s="102"/>
      <c r="L163" s="102"/>
    </row>
    <row r="164" spans="2:12" ht="12.75">
      <c r="B164" s="102"/>
      <c r="C164" s="102"/>
      <c r="D164" s="102"/>
      <c r="E164" s="102"/>
      <c r="F164" s="102"/>
      <c r="G164" s="102"/>
      <c r="H164" s="102"/>
      <c r="I164" s="102"/>
      <c r="J164" s="102"/>
      <c r="K164" s="102"/>
      <c r="L164" s="102"/>
    </row>
    <row r="165" spans="2:12" ht="12.75">
      <c r="B165" s="102"/>
      <c r="C165" s="102"/>
      <c r="D165" s="102"/>
      <c r="E165" s="102"/>
      <c r="F165" s="102"/>
      <c r="G165" s="102"/>
      <c r="H165" s="102"/>
      <c r="I165" s="102"/>
      <c r="J165" s="102"/>
      <c r="K165" s="102"/>
      <c r="L165" s="102"/>
    </row>
    <row r="166" spans="2:12" ht="12.75">
      <c r="B166" s="102"/>
      <c r="C166" s="102"/>
      <c r="D166" s="102"/>
      <c r="E166" s="102"/>
      <c r="F166" s="102"/>
      <c r="G166" s="102"/>
      <c r="H166" s="102"/>
      <c r="I166" s="102"/>
      <c r="J166" s="102"/>
      <c r="K166" s="102"/>
      <c r="L166" s="102"/>
    </row>
    <row r="167" spans="2:12" ht="12.75">
      <c r="B167" s="102"/>
      <c r="C167" s="102"/>
      <c r="D167" s="102"/>
      <c r="E167" s="102"/>
      <c r="F167" s="102"/>
      <c r="G167" s="102"/>
      <c r="H167" s="102"/>
      <c r="I167" s="102"/>
      <c r="J167" s="102"/>
      <c r="K167" s="102"/>
      <c r="L167" s="102"/>
    </row>
    <row r="168" spans="2:12" ht="12.75">
      <c r="B168" s="102"/>
      <c r="C168" s="102"/>
      <c r="D168" s="102"/>
      <c r="E168" s="102"/>
      <c r="F168" s="102"/>
      <c r="G168" s="102"/>
      <c r="H168" s="102"/>
      <c r="I168" s="102"/>
      <c r="J168" s="102"/>
      <c r="K168" s="102"/>
      <c r="L168" s="102"/>
    </row>
    <row r="169" spans="2:12" ht="12.75">
      <c r="B169" s="102"/>
      <c r="C169" s="102"/>
      <c r="D169" s="102"/>
      <c r="E169" s="102"/>
      <c r="F169" s="102"/>
      <c r="G169" s="102"/>
      <c r="H169" s="102"/>
      <c r="I169" s="102"/>
      <c r="J169" s="102"/>
      <c r="K169" s="102"/>
      <c r="L169" s="102"/>
    </row>
    <row r="170" spans="2:12" ht="12.75">
      <c r="B170" s="102"/>
      <c r="C170" s="102"/>
      <c r="D170" s="102"/>
      <c r="E170" s="102"/>
      <c r="F170" s="102"/>
      <c r="G170" s="102"/>
      <c r="H170" s="102"/>
      <c r="I170" s="102"/>
      <c r="J170" s="102"/>
      <c r="K170" s="102"/>
      <c r="L170" s="102"/>
    </row>
    <row r="171" spans="2:12" ht="12.75">
      <c r="B171" s="102"/>
      <c r="C171" s="102"/>
      <c r="D171" s="102"/>
      <c r="E171" s="102"/>
      <c r="F171" s="102"/>
      <c r="G171" s="102"/>
      <c r="H171" s="102"/>
      <c r="I171" s="102"/>
      <c r="J171" s="102"/>
      <c r="K171" s="102"/>
      <c r="L171" s="102"/>
    </row>
    <row r="172" spans="2:12" ht="12.75">
      <c r="B172" s="102"/>
      <c r="C172" s="102"/>
      <c r="D172" s="102"/>
      <c r="E172" s="102"/>
      <c r="F172" s="102"/>
      <c r="G172" s="102"/>
      <c r="H172" s="102"/>
      <c r="I172" s="102"/>
      <c r="J172" s="102"/>
      <c r="K172" s="102"/>
      <c r="L172" s="102"/>
    </row>
    <row r="173" spans="2:12" ht="12.75">
      <c r="B173" s="102"/>
      <c r="C173" s="102"/>
      <c r="D173" s="102"/>
      <c r="E173" s="102"/>
      <c r="F173" s="102"/>
      <c r="G173" s="102"/>
      <c r="H173" s="102"/>
      <c r="I173" s="102"/>
      <c r="J173" s="102"/>
      <c r="K173" s="102"/>
      <c r="L173" s="102"/>
    </row>
    <row r="174" spans="2:12" ht="12.75">
      <c r="B174" s="102"/>
      <c r="C174" s="102"/>
      <c r="D174" s="102"/>
      <c r="E174" s="102"/>
      <c r="F174" s="102"/>
      <c r="G174" s="102"/>
      <c r="H174" s="102"/>
      <c r="I174" s="102"/>
      <c r="J174" s="102"/>
      <c r="K174" s="102"/>
      <c r="L174" s="102"/>
    </row>
    <row r="175" spans="2:12" ht="12.75">
      <c r="B175" s="102"/>
      <c r="C175" s="102"/>
      <c r="D175" s="102"/>
      <c r="E175" s="102"/>
      <c r="F175" s="102"/>
      <c r="G175" s="102"/>
      <c r="H175" s="102"/>
      <c r="I175" s="102"/>
      <c r="J175" s="102"/>
      <c r="K175" s="102"/>
      <c r="L175" s="102"/>
    </row>
    <row r="176" spans="2:12" ht="12.75">
      <c r="B176" s="102"/>
      <c r="C176" s="102"/>
      <c r="D176" s="102"/>
      <c r="E176" s="102"/>
      <c r="F176" s="102"/>
      <c r="G176" s="102"/>
      <c r="H176" s="102"/>
      <c r="I176" s="102"/>
      <c r="J176" s="102"/>
      <c r="K176" s="102"/>
      <c r="L176" s="102"/>
    </row>
    <row r="177" spans="2:12" ht="12.75">
      <c r="B177" s="102"/>
      <c r="C177" s="102"/>
      <c r="D177" s="102"/>
      <c r="E177" s="102"/>
      <c r="F177" s="102"/>
      <c r="G177" s="102"/>
      <c r="H177" s="102"/>
      <c r="I177" s="102"/>
      <c r="J177" s="102"/>
      <c r="K177" s="102"/>
      <c r="L177" s="102"/>
    </row>
    <row r="178" spans="2:12" ht="12.75">
      <c r="B178" s="102"/>
      <c r="C178" s="102"/>
      <c r="D178" s="102"/>
      <c r="E178" s="102"/>
      <c r="F178" s="102"/>
      <c r="G178" s="102"/>
      <c r="H178" s="102"/>
      <c r="I178" s="102"/>
      <c r="J178" s="102"/>
      <c r="K178" s="102"/>
      <c r="L178" s="102"/>
    </row>
    <row r="179" spans="2:12" ht="12.75">
      <c r="B179" s="102"/>
      <c r="C179" s="102"/>
      <c r="D179" s="102"/>
      <c r="E179" s="102"/>
      <c r="F179" s="102"/>
      <c r="G179" s="102"/>
      <c r="H179" s="102"/>
      <c r="I179" s="102"/>
      <c r="J179" s="102"/>
      <c r="K179" s="102"/>
      <c r="L179" s="102"/>
    </row>
    <row r="180" spans="2:12" ht="12.75">
      <c r="B180" s="102"/>
      <c r="C180" s="102"/>
      <c r="D180" s="102"/>
      <c r="E180" s="102"/>
      <c r="F180" s="102"/>
      <c r="G180" s="102"/>
      <c r="H180" s="102"/>
      <c r="I180" s="102"/>
      <c r="J180" s="102"/>
      <c r="K180" s="102"/>
      <c r="L180" s="102"/>
    </row>
    <row r="181" spans="2:12" ht="12.75">
      <c r="B181" s="102"/>
      <c r="C181" s="102"/>
      <c r="D181" s="102"/>
      <c r="E181" s="102"/>
      <c r="F181" s="102"/>
      <c r="G181" s="102"/>
      <c r="H181" s="102"/>
      <c r="I181" s="102"/>
      <c r="J181" s="102"/>
      <c r="K181" s="102"/>
      <c r="L181" s="102"/>
    </row>
    <row r="182" spans="2:12" ht="12.75">
      <c r="B182" s="102"/>
      <c r="C182" s="102"/>
      <c r="D182" s="102"/>
      <c r="E182" s="102"/>
      <c r="F182" s="102"/>
      <c r="G182" s="102"/>
      <c r="H182" s="102"/>
      <c r="I182" s="102"/>
      <c r="J182" s="102"/>
      <c r="K182" s="102"/>
      <c r="L182" s="102"/>
    </row>
    <row r="183" spans="2:12" ht="12.75">
      <c r="B183" s="102"/>
      <c r="C183" s="102"/>
      <c r="D183" s="102"/>
      <c r="E183" s="102"/>
      <c r="F183" s="102"/>
      <c r="G183" s="102"/>
      <c r="H183" s="102"/>
      <c r="I183" s="102"/>
      <c r="J183" s="102"/>
      <c r="K183" s="102"/>
      <c r="L183" s="102"/>
    </row>
    <row r="184" spans="2:12" ht="12.75">
      <c r="B184" s="102"/>
      <c r="C184" s="102"/>
      <c r="D184" s="102"/>
      <c r="E184" s="102"/>
      <c r="F184" s="102"/>
      <c r="G184" s="102"/>
      <c r="H184" s="102"/>
      <c r="I184" s="102"/>
      <c r="J184" s="102"/>
      <c r="K184" s="102"/>
      <c r="L184" s="102"/>
    </row>
    <row r="185" spans="2:12" ht="12.75">
      <c r="B185" s="102"/>
      <c r="C185" s="102"/>
      <c r="D185" s="102"/>
      <c r="E185" s="102"/>
      <c r="F185" s="102"/>
      <c r="G185" s="102"/>
      <c r="H185" s="102"/>
      <c r="I185" s="102"/>
      <c r="J185" s="102"/>
      <c r="K185" s="102"/>
      <c r="L185" s="102"/>
    </row>
    <row r="186" spans="2:12" ht="12.75">
      <c r="B186" s="102"/>
      <c r="C186" s="102"/>
      <c r="D186" s="102"/>
      <c r="E186" s="102"/>
      <c r="F186" s="102"/>
      <c r="G186" s="102"/>
      <c r="H186" s="102"/>
      <c r="I186" s="102"/>
      <c r="J186" s="102"/>
      <c r="K186" s="102"/>
      <c r="L186" s="102"/>
    </row>
    <row r="187" spans="2:12" ht="14.25" customHeight="1">
      <c r="B187" s="102"/>
      <c r="C187" s="102"/>
      <c r="D187" s="102"/>
      <c r="E187" s="102"/>
      <c r="F187" s="102"/>
      <c r="G187" s="102"/>
      <c r="H187" s="102"/>
      <c r="I187" s="102"/>
      <c r="J187" s="102"/>
      <c r="K187" s="102"/>
      <c r="L187" s="102"/>
    </row>
    <row r="188" spans="2:12" ht="12.75" customHeight="1">
      <c r="B188" s="102"/>
      <c r="C188" s="102"/>
      <c r="D188" s="102"/>
      <c r="E188" s="102"/>
      <c r="F188" s="102"/>
      <c r="G188" s="102"/>
      <c r="H188" s="102"/>
      <c r="I188" s="102"/>
      <c r="J188" s="102"/>
      <c r="K188" s="102"/>
      <c r="L188" s="102"/>
    </row>
    <row r="189" spans="2:12" ht="12.75" customHeight="1">
      <c r="B189" s="102"/>
      <c r="C189" s="102"/>
      <c r="D189" s="102"/>
      <c r="E189" s="102"/>
      <c r="F189" s="102"/>
      <c r="G189" s="102"/>
      <c r="H189" s="102"/>
      <c r="I189" s="102"/>
      <c r="J189" s="102"/>
      <c r="K189" s="102"/>
      <c r="L189" s="102"/>
    </row>
    <row r="190" spans="2:12" ht="12.75" customHeight="1">
      <c r="B190" s="102"/>
      <c r="C190" s="102"/>
      <c r="D190" s="102"/>
      <c r="E190" s="102"/>
      <c r="F190" s="102"/>
      <c r="G190" s="102"/>
      <c r="H190" s="102"/>
      <c r="I190" s="102"/>
      <c r="J190" s="102"/>
      <c r="K190" s="102"/>
      <c r="L190" s="102"/>
    </row>
    <row r="191" spans="2:12" ht="12.75" customHeight="1">
      <c r="B191" s="102"/>
      <c r="C191" s="102"/>
      <c r="D191" s="102"/>
      <c r="E191" s="102"/>
      <c r="F191" s="102"/>
      <c r="G191" s="102"/>
      <c r="H191" s="102"/>
      <c r="I191" s="102"/>
      <c r="J191" s="102"/>
      <c r="K191" s="102"/>
      <c r="L191" s="102"/>
    </row>
    <row r="192" spans="2:12" ht="12.75" customHeight="1">
      <c r="B192" s="102"/>
      <c r="C192" s="102"/>
      <c r="D192" s="102"/>
      <c r="E192" s="102"/>
      <c r="F192" s="102"/>
      <c r="G192" s="102"/>
      <c r="H192" s="102"/>
      <c r="I192" s="102"/>
      <c r="J192" s="102"/>
      <c r="K192" s="102"/>
      <c r="L192" s="102"/>
    </row>
    <row r="193" spans="2:12" ht="12.75" customHeight="1">
      <c r="B193" s="102"/>
      <c r="C193" s="102"/>
      <c r="D193" s="102"/>
      <c r="E193" s="102"/>
      <c r="F193" s="102"/>
      <c r="G193" s="102"/>
      <c r="H193" s="102"/>
      <c r="I193" s="102"/>
      <c r="J193" s="102"/>
      <c r="K193" s="102"/>
      <c r="L193" s="102"/>
    </row>
    <row r="194" spans="2:12" ht="12.75" customHeight="1">
      <c r="B194" s="102"/>
      <c r="C194" s="102"/>
      <c r="D194" s="102"/>
      <c r="E194" s="102"/>
      <c r="F194" s="102"/>
      <c r="G194" s="102"/>
      <c r="H194" s="102"/>
      <c r="I194" s="102"/>
      <c r="J194" s="102"/>
      <c r="K194" s="102"/>
      <c r="L194" s="102"/>
    </row>
    <row r="195" spans="2:12" ht="12.75" customHeight="1">
      <c r="B195" s="102"/>
      <c r="C195" s="102"/>
      <c r="D195" s="102"/>
      <c r="E195" s="102"/>
      <c r="F195" s="102"/>
      <c r="G195" s="102"/>
      <c r="H195" s="102"/>
      <c r="I195" s="102"/>
      <c r="J195" s="102"/>
      <c r="K195" s="102"/>
      <c r="L195" s="102"/>
    </row>
    <row r="196" spans="2:12" ht="12.75" customHeight="1">
      <c r="B196" s="102"/>
      <c r="C196" s="102"/>
      <c r="D196" s="102"/>
      <c r="E196" s="102"/>
      <c r="F196" s="102"/>
      <c r="G196" s="102"/>
      <c r="H196" s="102"/>
      <c r="I196" s="102"/>
      <c r="J196" s="102"/>
      <c r="K196" s="102"/>
      <c r="L196" s="102"/>
    </row>
    <row r="197" spans="2:12" ht="12.75" customHeight="1">
      <c r="B197" s="102"/>
      <c r="C197" s="102"/>
      <c r="D197" s="102"/>
      <c r="E197" s="102"/>
      <c r="F197" s="102"/>
      <c r="G197" s="102"/>
      <c r="H197" s="102"/>
      <c r="I197" s="102"/>
      <c r="J197" s="102"/>
      <c r="K197" s="102"/>
      <c r="L197" s="102"/>
    </row>
    <row r="198" spans="2:12" ht="12.75" customHeight="1">
      <c r="B198" s="102"/>
      <c r="C198" s="102"/>
      <c r="D198" s="102"/>
      <c r="E198" s="102"/>
      <c r="F198" s="102"/>
      <c r="G198" s="102"/>
      <c r="H198" s="102"/>
      <c r="I198" s="102"/>
      <c r="J198" s="102"/>
      <c r="K198" s="102"/>
      <c r="L198" s="102"/>
    </row>
    <row r="199" spans="2:12" ht="12.75" customHeight="1">
      <c r="B199" s="102"/>
      <c r="C199" s="102"/>
      <c r="D199" s="102"/>
      <c r="E199" s="102"/>
      <c r="F199" s="102"/>
      <c r="G199" s="102"/>
      <c r="H199" s="102"/>
      <c r="I199" s="102"/>
      <c r="J199" s="102"/>
      <c r="K199" s="102"/>
      <c r="L199" s="102"/>
    </row>
    <row r="200" spans="2:12" ht="12.75" customHeight="1">
      <c r="B200" s="102"/>
      <c r="C200" s="102"/>
      <c r="D200" s="102"/>
      <c r="E200" s="102"/>
      <c r="F200" s="102"/>
      <c r="G200" s="102"/>
      <c r="H200" s="102"/>
      <c r="I200" s="102"/>
      <c r="J200" s="102"/>
      <c r="K200" s="102"/>
      <c r="L200" s="102"/>
    </row>
    <row r="201" spans="2:12" ht="12.75" customHeight="1">
      <c r="B201" s="102"/>
      <c r="C201" s="102"/>
      <c r="D201" s="102"/>
      <c r="E201" s="102"/>
      <c r="F201" s="102"/>
      <c r="G201" s="102"/>
      <c r="H201" s="102"/>
      <c r="I201" s="102"/>
      <c r="J201" s="102"/>
      <c r="K201" s="102"/>
      <c r="L201" s="102"/>
    </row>
    <row r="202" spans="2:12" ht="12.75" customHeight="1">
      <c r="B202" s="102"/>
      <c r="C202" s="102"/>
      <c r="D202" s="102"/>
      <c r="E202" s="102"/>
      <c r="F202" s="102"/>
      <c r="G202" s="102"/>
      <c r="H202" s="102"/>
      <c r="I202" s="102"/>
      <c r="J202" s="102"/>
      <c r="K202" s="102"/>
      <c r="L202" s="102"/>
    </row>
    <row r="203" spans="2:12" ht="12.75">
      <c r="B203" s="102"/>
      <c r="C203" s="102"/>
      <c r="D203" s="102"/>
      <c r="E203" s="102"/>
      <c r="F203" s="102"/>
      <c r="G203" s="102"/>
      <c r="H203" s="102"/>
      <c r="I203" s="102"/>
      <c r="J203" s="102"/>
      <c r="K203" s="102"/>
      <c r="L203" s="102"/>
    </row>
    <row r="204" spans="2:12" ht="12.75">
      <c r="B204" s="102"/>
      <c r="C204" s="102"/>
      <c r="D204" s="102"/>
      <c r="E204" s="102"/>
      <c r="F204" s="102"/>
      <c r="G204" s="102"/>
      <c r="H204" s="102"/>
      <c r="I204" s="102"/>
      <c r="J204" s="102"/>
      <c r="K204" s="102"/>
      <c r="L204" s="102"/>
    </row>
    <row r="205" spans="2:12" ht="12.75">
      <c r="B205" s="102"/>
      <c r="C205" s="102"/>
      <c r="D205" s="102"/>
      <c r="E205" s="102"/>
      <c r="F205" s="102"/>
      <c r="G205" s="102"/>
      <c r="H205" s="102"/>
      <c r="I205" s="102"/>
      <c r="J205" s="102"/>
      <c r="K205" s="102"/>
      <c r="L205" s="102"/>
    </row>
    <row r="206" spans="2:12" ht="12.75">
      <c r="B206" s="102"/>
      <c r="C206" s="102"/>
      <c r="D206" s="102"/>
      <c r="E206" s="102"/>
      <c r="F206" s="102"/>
      <c r="G206" s="102"/>
      <c r="H206" s="102"/>
      <c r="I206" s="102"/>
      <c r="J206" s="102"/>
      <c r="K206" s="102"/>
      <c r="L206" s="102"/>
    </row>
    <row r="207" spans="2:12" ht="12.75">
      <c r="B207" s="102"/>
      <c r="C207" s="102"/>
      <c r="D207" s="102"/>
      <c r="E207" s="102"/>
      <c r="F207" s="102"/>
      <c r="G207" s="102"/>
      <c r="H207" s="102"/>
      <c r="I207" s="102"/>
      <c r="J207" s="102"/>
      <c r="K207" s="102"/>
      <c r="L207" s="102"/>
    </row>
    <row r="208" spans="2:12" ht="12.75">
      <c r="B208" s="102"/>
      <c r="C208" s="102"/>
      <c r="D208" s="102"/>
      <c r="E208" s="102"/>
      <c r="F208" s="102"/>
      <c r="G208" s="102"/>
      <c r="H208" s="102"/>
      <c r="I208" s="102"/>
      <c r="J208" s="102"/>
      <c r="K208" s="102"/>
      <c r="L208" s="102"/>
    </row>
    <row r="209" spans="2:12" ht="12.75">
      <c r="B209" s="102"/>
      <c r="C209" s="102"/>
      <c r="D209" s="102"/>
      <c r="E209" s="102"/>
      <c r="F209" s="102"/>
      <c r="G209" s="102"/>
      <c r="H209" s="102"/>
      <c r="I209" s="102"/>
      <c r="J209" s="102"/>
      <c r="K209" s="102"/>
      <c r="L209" s="102"/>
    </row>
    <row r="210" spans="2:12" ht="12.75">
      <c r="B210" s="102"/>
      <c r="C210" s="102"/>
      <c r="D210" s="102"/>
      <c r="E210" s="102"/>
      <c r="F210" s="102"/>
      <c r="G210" s="102"/>
      <c r="H210" s="102"/>
      <c r="I210" s="102"/>
      <c r="J210" s="102"/>
      <c r="K210" s="102"/>
      <c r="L210" s="102"/>
    </row>
    <row r="211" spans="2:12" ht="12.75">
      <c r="B211" s="102"/>
      <c r="C211" s="102"/>
      <c r="D211" s="102"/>
      <c r="E211" s="102"/>
      <c r="F211" s="102"/>
      <c r="G211" s="102"/>
      <c r="H211" s="102"/>
      <c r="I211" s="102"/>
      <c r="J211" s="102"/>
      <c r="K211" s="102"/>
      <c r="L211" s="102"/>
    </row>
    <row r="212" spans="2:12" ht="12.75">
      <c r="B212" s="102"/>
      <c r="C212" s="102"/>
      <c r="D212" s="102"/>
      <c r="E212" s="102"/>
      <c r="F212" s="102"/>
      <c r="G212" s="102"/>
      <c r="H212" s="102"/>
      <c r="I212" s="102"/>
      <c r="J212" s="102"/>
      <c r="K212" s="102"/>
      <c r="L212" s="102"/>
    </row>
    <row r="213" spans="2:12" ht="12.75">
      <c r="B213" s="102"/>
      <c r="C213" s="102"/>
      <c r="D213" s="102"/>
      <c r="E213" s="102"/>
      <c r="F213" s="102"/>
      <c r="G213" s="102"/>
      <c r="H213" s="102"/>
      <c r="I213" s="102"/>
      <c r="J213" s="102"/>
      <c r="K213" s="102"/>
      <c r="L213" s="102"/>
    </row>
    <row r="214" spans="2:12" ht="12.75">
      <c r="B214" s="102"/>
      <c r="C214" s="102"/>
      <c r="D214" s="102"/>
      <c r="E214" s="102"/>
      <c r="F214" s="102"/>
      <c r="G214" s="102"/>
      <c r="H214" s="102"/>
      <c r="I214" s="102"/>
      <c r="J214" s="102"/>
      <c r="K214" s="102"/>
      <c r="L214" s="102"/>
    </row>
    <row r="215" spans="2:12" ht="12.75">
      <c r="B215" s="102"/>
      <c r="C215" s="102"/>
      <c r="D215" s="102"/>
      <c r="E215" s="102"/>
      <c r="F215" s="102"/>
      <c r="G215" s="102"/>
      <c r="H215" s="102"/>
      <c r="I215" s="102"/>
      <c r="J215" s="102"/>
      <c r="K215" s="102"/>
      <c r="L215" s="102"/>
    </row>
    <row r="216" spans="2:12" ht="12.75">
      <c r="B216" s="102"/>
      <c r="C216" s="102"/>
      <c r="D216" s="102"/>
      <c r="E216" s="102"/>
      <c r="F216" s="102"/>
      <c r="G216" s="102"/>
      <c r="H216" s="102"/>
      <c r="I216" s="102"/>
      <c r="J216" s="102"/>
      <c r="K216" s="102"/>
      <c r="L216" s="102"/>
    </row>
    <row r="217" spans="2:12" ht="12.75">
      <c r="B217" s="102"/>
      <c r="C217" s="102"/>
      <c r="D217" s="102"/>
      <c r="E217" s="102"/>
      <c r="F217" s="102"/>
      <c r="G217" s="102"/>
      <c r="H217" s="102"/>
      <c r="I217" s="102"/>
      <c r="J217" s="102"/>
      <c r="K217" s="102"/>
      <c r="L217" s="102"/>
    </row>
    <row r="218" spans="2:12" ht="12.75">
      <c r="B218" s="102"/>
      <c r="C218" s="102"/>
      <c r="D218" s="102"/>
      <c r="E218" s="102"/>
      <c r="F218" s="102"/>
      <c r="G218" s="102"/>
      <c r="H218" s="102"/>
      <c r="I218" s="102"/>
      <c r="J218" s="102"/>
      <c r="K218" s="102"/>
      <c r="L218" s="102"/>
    </row>
    <row r="219" spans="2:12" ht="12.75">
      <c r="B219" s="102"/>
      <c r="C219" s="102"/>
      <c r="D219" s="102"/>
      <c r="E219" s="102"/>
      <c r="F219" s="102"/>
      <c r="G219" s="102"/>
      <c r="H219" s="102"/>
      <c r="I219" s="102"/>
      <c r="J219" s="102"/>
      <c r="K219" s="102"/>
      <c r="L219" s="102"/>
    </row>
    <row r="220" spans="2:12" ht="12.75">
      <c r="B220" s="102"/>
      <c r="C220" s="102"/>
      <c r="D220" s="102"/>
      <c r="E220" s="102"/>
      <c r="F220" s="102"/>
      <c r="G220" s="102"/>
      <c r="H220" s="102"/>
      <c r="I220" s="102"/>
      <c r="J220" s="102"/>
      <c r="K220" s="102"/>
      <c r="L220" s="102"/>
    </row>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63" r:id="rId1"/>
  <headerFooter alignWithMargins="0">
    <oddHeader>&amp;R&amp;"Arial,Bold"Formula Rate
 &amp;A
Page &amp;P of &amp;N</oddHeader>
  </headerFooter>
  <rowBreaks count="1" manualBreakCount="1">
    <brk id="59"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O115"/>
  <sheetViews>
    <sheetView zoomScale="75" zoomScaleNormal="75" zoomScalePageLayoutView="0" workbookViewId="0" topLeftCell="A31">
      <selection activeCell="E22" sqref="E22"/>
    </sheetView>
  </sheetViews>
  <sheetFormatPr defaultColWidth="11.421875" defaultRowHeight="12.75"/>
  <cols>
    <col min="1" max="1" width="8.140625" style="231" customWidth="1"/>
    <col min="2" max="2" width="10.28125" style="232" customWidth="1"/>
    <col min="3" max="3" width="41.7109375" style="232" customWidth="1"/>
    <col min="4" max="4" width="30.00390625" style="232" customWidth="1"/>
    <col min="5" max="5" width="21.28125" style="244" customWidth="1"/>
    <col min="6" max="6" width="0.9921875" style="244" customWidth="1"/>
    <col min="7" max="7" width="20.8515625" style="232" customWidth="1"/>
    <col min="8" max="8" width="0.9921875" style="232" customWidth="1"/>
    <col min="9" max="9" width="19.140625" style="232" customWidth="1"/>
    <col min="10" max="10" width="16.7109375" style="232" customWidth="1"/>
    <col min="11" max="11" width="15.28125" style="232" customWidth="1"/>
    <col min="12" max="12" width="30.140625" style="232" bestFit="1" customWidth="1"/>
    <col min="13" max="14" width="13.421875" style="232" customWidth="1"/>
    <col min="15" max="15" width="13.7109375" style="232" customWidth="1"/>
    <col min="16" max="16384" width="11.421875" style="232" customWidth="1"/>
  </cols>
  <sheetData>
    <row r="1" spans="1:15" ht="15">
      <c r="A1" s="1207" t="str">
        <f>'Historic TCOS'!$F$3</f>
        <v>AEPTCo subsidiaries in PJM</v>
      </c>
      <c r="B1" s="1207" t="str">
        <f>'Historic TCOS'!$F$3</f>
        <v>AEPTCo subsidiaries in PJM</v>
      </c>
      <c r="C1" s="1207" t="str">
        <f>'Historic TCOS'!$F$3</f>
        <v>AEPTCo subsidiaries in PJM</v>
      </c>
      <c r="D1" s="1207" t="str">
        <f>'Historic TCOS'!$F$3</f>
        <v>AEPTCo subsidiaries in PJM</v>
      </c>
      <c r="E1" s="1207" t="str">
        <f>'Historic TCOS'!$F$3</f>
        <v>AEPTCo subsidiaries in PJM</v>
      </c>
      <c r="F1" s="1207" t="str">
        <f>'Historic TCOS'!$F$3</f>
        <v>AEPTCo subsidiaries in PJM</v>
      </c>
      <c r="G1" s="1207" t="str">
        <f>'Historic TCOS'!$F$3</f>
        <v>AEPTCo subsidiaries in PJM</v>
      </c>
      <c r="H1" s="1207" t="str">
        <f>'Historic TCOS'!$F$3</f>
        <v>AEPTCo subsidiaries in PJM</v>
      </c>
      <c r="I1" s="1207" t="str">
        <f>'Historic TCOS'!$F$3</f>
        <v>AEPTCo subsidiaries in PJM</v>
      </c>
      <c r="J1" s="1207" t="str">
        <f>'Historic TCOS'!$F$3</f>
        <v>AEPTCo subsidiaries in PJM</v>
      </c>
      <c r="K1" s="1207" t="str">
        <f>'Historic TCOS'!$F$3</f>
        <v>AEPTCo subsidiaries in PJM</v>
      </c>
      <c r="L1" s="1207" t="str">
        <f>'Historic TCOS'!$F$3</f>
        <v>AEPTCo subsidiaries in PJM</v>
      </c>
      <c r="M1" s="171"/>
      <c r="N1" s="171"/>
      <c r="O1" s="171"/>
    </row>
    <row r="2" spans="1:15" ht="15">
      <c r="A2" s="1206" t="str">
        <f>"Cost of Service Formula Rate Using "&amp;'Historic TCOS'!O1&amp;" FF1 Balances"</f>
        <v>Cost of Service Formula Rate Using 2014 FF1 Balances</v>
      </c>
      <c r="B2" s="1206"/>
      <c r="C2" s="1206"/>
      <c r="D2" s="1206"/>
      <c r="E2" s="1206"/>
      <c r="F2" s="1206"/>
      <c r="G2" s="1206"/>
      <c r="H2" s="1206"/>
      <c r="I2" s="1206"/>
      <c r="J2" s="1206"/>
      <c r="K2" s="1206"/>
      <c r="L2" s="1206"/>
      <c r="M2" s="275"/>
      <c r="N2" s="275"/>
      <c r="O2" s="275"/>
    </row>
    <row r="3" spans="1:15" ht="15">
      <c r="A3" s="1206" t="s">
        <v>280</v>
      </c>
      <c r="B3" s="1206"/>
      <c r="C3" s="1206"/>
      <c r="D3" s="1206"/>
      <c r="E3" s="1206"/>
      <c r="F3" s="1206"/>
      <c r="G3" s="1206"/>
      <c r="H3" s="1206"/>
      <c r="I3" s="1206"/>
      <c r="J3" s="1206"/>
      <c r="K3" s="1206"/>
      <c r="L3" s="1206"/>
      <c r="M3" s="274"/>
      <c r="N3" s="274"/>
      <c r="O3" s="274"/>
    </row>
    <row r="4" spans="1:15" ht="15">
      <c r="A4" s="1210" t="str">
        <f>+'WS A  - RB Support '!A4:F4</f>
        <v>AEP KENTUCKY TRANSMISSION COMPANY</v>
      </c>
      <c r="B4" s="1210"/>
      <c r="C4" s="1210"/>
      <c r="D4" s="1210"/>
      <c r="E4" s="1210"/>
      <c r="F4" s="1210"/>
      <c r="G4" s="1210"/>
      <c r="H4" s="1210"/>
      <c r="I4" s="1210"/>
      <c r="J4" s="1210"/>
      <c r="K4" s="1210"/>
      <c r="L4" s="1210"/>
      <c r="M4" s="12"/>
      <c r="N4" s="12"/>
      <c r="O4" s="12"/>
    </row>
    <row r="5" spans="1:15" ht="15">
      <c r="A5" s="12"/>
      <c r="B5" s="12"/>
      <c r="C5" s="12"/>
      <c r="D5" s="12"/>
      <c r="E5" s="12"/>
      <c r="F5" s="12"/>
      <c r="G5" s="12"/>
      <c r="H5" s="10"/>
      <c r="I5" s="230"/>
      <c r="J5" s="230"/>
      <c r="K5" s="230"/>
      <c r="L5" s="230"/>
      <c r="M5" s="230"/>
      <c r="N5" s="230"/>
      <c r="O5" s="230"/>
    </row>
    <row r="6" spans="1:15" ht="12.75" customHeight="1">
      <c r="A6" s="271"/>
      <c r="B6" s="271" t="s">
        <v>601</v>
      </c>
      <c r="C6" s="271" t="s">
        <v>602</v>
      </c>
      <c r="D6" s="269" t="s">
        <v>366</v>
      </c>
      <c r="E6" s="269" t="s">
        <v>604</v>
      </c>
      <c r="F6" s="271"/>
      <c r="G6" s="271" t="s">
        <v>522</v>
      </c>
      <c r="H6" s="271"/>
      <c r="I6" s="271" t="s">
        <v>523</v>
      </c>
      <c r="J6" s="271" t="s">
        <v>524</v>
      </c>
      <c r="K6" s="271" t="s">
        <v>529</v>
      </c>
      <c r="L6" s="271" t="s">
        <v>288</v>
      </c>
      <c r="M6" s="271"/>
      <c r="N6" s="271"/>
      <c r="O6" s="271"/>
    </row>
    <row r="7" ht="12.75">
      <c r="A7" s="228"/>
    </row>
    <row r="8" spans="1:15" ht="17.25">
      <c r="A8" s="268"/>
      <c r="B8" s="1211" t="s">
        <v>682</v>
      </c>
      <c r="C8" s="1211"/>
      <c r="D8" s="1211"/>
      <c r="E8" s="1211"/>
      <c r="F8" s="1211"/>
      <c r="G8" s="1211"/>
      <c r="H8" s="1211"/>
      <c r="I8" s="1211"/>
      <c r="J8" s="1211"/>
      <c r="K8" s="1211"/>
      <c r="O8" s="244"/>
    </row>
    <row r="9" spans="1:15" ht="12.75">
      <c r="A9" s="268"/>
      <c r="I9" s="134"/>
      <c r="J9" s="134"/>
      <c r="O9" s="244"/>
    </row>
    <row r="10" spans="1:15" ht="12.75" customHeight="1">
      <c r="A10" s="114" t="s">
        <v>608</v>
      </c>
      <c r="B10" s="234"/>
      <c r="C10" s="245"/>
      <c r="D10" s="584"/>
      <c r="E10" s="1213" t="str">
        <f>"Balance @ December 31, "&amp;'Historic TCOS'!O1&amp;""</f>
        <v>Balance @ December 31, 2014</v>
      </c>
      <c r="F10" s="584"/>
      <c r="G10" s="1213" t="str">
        <f>"Balance @ December 31, "&amp;'Historic TCOS'!O1-1&amp;""</f>
        <v>Balance @ December 31, 2013</v>
      </c>
      <c r="H10" s="782"/>
      <c r="I10" s="1204" t="str">
        <f>"Average Balance for "&amp;'Historic TCOS'!O1&amp;""</f>
        <v>Average Balance for 2014</v>
      </c>
      <c r="J10" s="343"/>
      <c r="K10" s="239"/>
      <c r="L10" s="246"/>
      <c r="M10" s="239"/>
      <c r="N10" s="239"/>
      <c r="O10" s="244"/>
    </row>
    <row r="11" spans="1:14" ht="12.75">
      <c r="A11" s="114" t="s">
        <v>546</v>
      </c>
      <c r="B11" s="241"/>
      <c r="C11" s="234"/>
      <c r="D11" s="585" t="s">
        <v>677</v>
      </c>
      <c r="E11" s="1214"/>
      <c r="F11" s="586"/>
      <c r="G11" s="1214"/>
      <c r="H11" s="587"/>
      <c r="I11" s="1205"/>
      <c r="J11" s="343"/>
      <c r="K11" s="247"/>
      <c r="L11" s="248"/>
      <c r="M11" s="237"/>
      <c r="N11" s="237"/>
    </row>
    <row r="12" spans="1:14" ht="12.75">
      <c r="A12" s="241"/>
      <c r="B12" s="241"/>
      <c r="C12" s="234"/>
      <c r="D12" s="243"/>
      <c r="E12" s="233"/>
      <c r="F12" s="233"/>
      <c r="G12" s="638"/>
      <c r="H12" s="242"/>
      <c r="J12" s="134"/>
      <c r="K12" s="247"/>
      <c r="L12" s="248"/>
      <c r="M12" s="237"/>
      <c r="N12" s="237"/>
    </row>
    <row r="13" spans="1:14" ht="12.75">
      <c r="A13" s="241">
        <v>1</v>
      </c>
      <c r="B13" s="241"/>
      <c r="D13" s="203"/>
      <c r="E13" s="161"/>
      <c r="F13" s="161"/>
      <c r="G13" s="161"/>
      <c r="H13" s="161"/>
      <c r="I13" s="161"/>
      <c r="K13" s="161"/>
      <c r="L13" s="161"/>
      <c r="M13" s="237"/>
      <c r="N13" s="237"/>
    </row>
    <row r="14" spans="1:14" ht="12.75">
      <c r="A14" s="241"/>
      <c r="B14" s="241"/>
      <c r="C14" s="203"/>
      <c r="D14" s="203"/>
      <c r="E14" s="161"/>
      <c r="F14" s="161"/>
      <c r="G14" s="161"/>
      <c r="H14" s="161"/>
      <c r="I14" s="161"/>
      <c r="K14" s="161"/>
      <c r="L14" s="161"/>
      <c r="M14" s="237"/>
      <c r="N14" s="237"/>
    </row>
    <row r="15" spans="1:14" ht="12.75">
      <c r="A15" s="241">
        <f>+A13+1</f>
        <v>2</v>
      </c>
      <c r="B15" s="241"/>
      <c r="C15" s="203" t="s">
        <v>351</v>
      </c>
      <c r="D15" s="238" t="s">
        <v>93</v>
      </c>
      <c r="E15" s="1097">
        <v>0</v>
      </c>
      <c r="F15" s="161"/>
      <c r="G15" s="1097">
        <v>0</v>
      </c>
      <c r="H15" s="161"/>
      <c r="I15" s="474">
        <f>IF(G15="",0,(E15+G15)/2)</f>
        <v>0</v>
      </c>
      <c r="J15"/>
      <c r="K15" s="474"/>
      <c r="L15" s="161"/>
      <c r="M15" s="237"/>
      <c r="N15" s="237"/>
    </row>
    <row r="16" spans="1:14" ht="12.75">
      <c r="A16" s="241"/>
      <c r="B16" s="241"/>
      <c r="C16" s="203"/>
      <c r="D16"/>
      <c r="E16"/>
      <c r="F16"/>
      <c r="G16"/>
      <c r="H16"/>
      <c r="I16" s="101"/>
      <c r="J16"/>
      <c r="K16"/>
      <c r="L16" s="161"/>
      <c r="M16" s="237"/>
      <c r="N16" s="237"/>
    </row>
    <row r="17" spans="1:14" ht="12.75">
      <c r="A17" s="241">
        <f>+A15+1</f>
        <v>3</v>
      </c>
      <c r="B17" s="241"/>
      <c r="C17" s="203" t="s">
        <v>352</v>
      </c>
      <c r="D17" s="238" t="s">
        <v>94</v>
      </c>
      <c r="E17" s="1097">
        <v>0</v>
      </c>
      <c r="F17" s="233"/>
      <c r="G17" s="1097">
        <v>0</v>
      </c>
      <c r="H17" s="242"/>
      <c r="I17" s="474">
        <f>IF(G17="",0,(E17+G17)/2)</f>
        <v>0</v>
      </c>
      <c r="J17" s="134"/>
      <c r="K17" s="247"/>
      <c r="L17" s="248"/>
      <c r="M17" s="237"/>
      <c r="N17" s="237"/>
    </row>
    <row r="18" spans="1:14" ht="12.75">
      <c r="A18" s="241"/>
      <c r="B18" s="241"/>
      <c r="C18" s="203"/>
      <c r="D18" s="238"/>
      <c r="E18"/>
      <c r="F18"/>
      <c r="G18"/>
      <c r="H18"/>
      <c r="I18"/>
      <c r="J18"/>
      <c r="K18" s="247"/>
      <c r="L18" s="248"/>
      <c r="M18" s="237"/>
      <c r="N18" s="237"/>
    </row>
    <row r="19" spans="1:14" ht="12.75">
      <c r="A19" s="241">
        <f>+A17+1</f>
        <v>4</v>
      </c>
      <c r="B19" s="241"/>
      <c r="C19" s="203" t="s">
        <v>353</v>
      </c>
      <c r="D19" s="238" t="s">
        <v>95</v>
      </c>
      <c r="E19" s="1097">
        <v>0</v>
      </c>
      <c r="F19" s="233"/>
      <c r="G19" s="1097">
        <v>0</v>
      </c>
      <c r="H19" s="242"/>
      <c r="I19" s="474">
        <f>IF(G19="",0,(E19+G19)/2)</f>
        <v>0</v>
      </c>
      <c r="J19" s="134"/>
      <c r="K19" s="247"/>
      <c r="L19" s="248"/>
      <c r="M19" s="237"/>
      <c r="N19" s="237"/>
    </row>
    <row r="20" spans="1:14" ht="12.75">
      <c r="A20" s="241"/>
      <c r="B20" s="241"/>
      <c r="C20" s="234"/>
      <c r="D20" s="243"/>
      <c r="E20" s="233"/>
      <c r="F20" s="233"/>
      <c r="G20" s="244"/>
      <c r="H20" s="242"/>
      <c r="I20" s="244"/>
      <c r="J20" s="134"/>
      <c r="K20" s="247"/>
      <c r="L20" s="248"/>
      <c r="M20" s="237"/>
      <c r="N20" s="237"/>
    </row>
    <row r="21" spans="1:14" ht="12.75">
      <c r="A21" s="564"/>
      <c r="B21" s="564"/>
      <c r="C21" s="565"/>
      <c r="D21" s="566"/>
      <c r="E21" s="567"/>
      <c r="F21" s="567"/>
      <c r="G21" s="568"/>
      <c r="H21" s="569"/>
      <c r="I21" s="568"/>
      <c r="J21" s="570"/>
      <c r="K21" s="571"/>
      <c r="L21" s="572"/>
      <c r="M21" s="237"/>
      <c r="N21" s="237"/>
    </row>
    <row r="22" spans="1:14" ht="17.25">
      <c r="A22" s="241"/>
      <c r="B22" s="1211" t="s">
        <v>360</v>
      </c>
      <c r="C22" s="1211"/>
      <c r="D22" s="1211"/>
      <c r="E22" s="1211"/>
      <c r="F22" s="1211"/>
      <c r="G22" s="1211"/>
      <c r="H22" s="1211"/>
      <c r="I22" s="1211"/>
      <c r="J22" s="1211"/>
      <c r="K22" s="1211"/>
      <c r="L22" s="248"/>
      <c r="M22" s="237"/>
      <c r="N22" s="237"/>
    </row>
    <row r="23" spans="1:14" ht="12.75" customHeight="1">
      <c r="A23" s="241"/>
      <c r="B23" s="492"/>
      <c r="C23" s="234"/>
      <c r="D23" s="150"/>
      <c r="E23" s="112"/>
      <c r="F23" s="232"/>
      <c r="G23" s="112" t="s">
        <v>525</v>
      </c>
      <c r="I23" s="110" t="s">
        <v>556</v>
      </c>
      <c r="J23" s="110" t="s">
        <v>556</v>
      </c>
      <c r="K23" s="110" t="s">
        <v>618</v>
      </c>
      <c r="L23" s="248"/>
      <c r="M23" s="237"/>
      <c r="N23" s="237"/>
    </row>
    <row r="24" spans="1:14" ht="12.75" customHeight="1">
      <c r="A24" s="241"/>
      <c r="B24" s="492"/>
      <c r="C24" s="234"/>
      <c r="D24" s="488" t="s">
        <v>289</v>
      </c>
      <c r="E24" s="110" t="s">
        <v>359</v>
      </c>
      <c r="F24" s="232"/>
      <c r="G24" s="110" t="s">
        <v>556</v>
      </c>
      <c r="I24" s="110" t="s">
        <v>333</v>
      </c>
      <c r="J24" s="110" t="s">
        <v>600</v>
      </c>
      <c r="K24" s="110" t="s">
        <v>619</v>
      </c>
      <c r="L24" s="248"/>
      <c r="M24" s="237"/>
      <c r="N24" s="237"/>
    </row>
    <row r="25" spans="1:14" ht="12.75" customHeight="1">
      <c r="A25" s="241">
        <f>+A19+1</f>
        <v>5</v>
      </c>
      <c r="B25" s="492"/>
      <c r="C25" s="234"/>
      <c r="D25" s="115" t="s">
        <v>526</v>
      </c>
      <c r="E25" s="115" t="s">
        <v>290</v>
      </c>
      <c r="F25" s="232"/>
      <c r="G25" s="115" t="s">
        <v>334</v>
      </c>
      <c r="I25" s="115" t="s">
        <v>334</v>
      </c>
      <c r="J25" s="115" t="s">
        <v>334</v>
      </c>
      <c r="K25" s="115" t="s">
        <v>335</v>
      </c>
      <c r="L25" s="248"/>
      <c r="M25" s="237"/>
      <c r="N25" s="237"/>
    </row>
    <row r="26" spans="1:14" ht="12.75">
      <c r="A26" s="241"/>
      <c r="B26" s="241"/>
      <c r="C26" s="234"/>
      <c r="D26" s="243"/>
      <c r="E26" s="233"/>
      <c r="F26" s="233"/>
      <c r="G26" s="244"/>
      <c r="H26" s="242"/>
      <c r="I26" s="244"/>
      <c r="J26" s="134"/>
      <c r="K26" s="640"/>
      <c r="L26" s="248"/>
      <c r="M26" s="237"/>
      <c r="N26" s="237"/>
    </row>
    <row r="27" spans="1:14" ht="12.75">
      <c r="A27" s="241">
        <f>+A25+1</f>
        <v>6</v>
      </c>
      <c r="B27" s="241"/>
      <c r="C27" s="232" t="str">
        <f>"Totals as of December 31, "&amp;'Historic TCOS'!O1&amp;""</f>
        <v>Totals as of December 31, 2014</v>
      </c>
      <c r="D27" s="493">
        <f>ROUND(D49,0)</f>
        <v>0</v>
      </c>
      <c r="E27" s="686">
        <f>ROUND(E49,0)</f>
        <v>0</v>
      </c>
      <c r="F27" s="494"/>
      <c r="G27" s="493">
        <f>ROUND(G49,0)</f>
        <v>0</v>
      </c>
      <c r="H27" s="242"/>
      <c r="I27" s="493">
        <f>ROUND(I49,0)</f>
        <v>0</v>
      </c>
      <c r="J27" s="495">
        <f>+J49</f>
        <v>0</v>
      </c>
      <c r="K27" s="493">
        <f>ROUND(K49,0)</f>
        <v>0</v>
      </c>
      <c r="L27" s="248"/>
      <c r="M27" s="237"/>
      <c r="N27" s="237"/>
    </row>
    <row r="28" spans="1:14" ht="12.75">
      <c r="A28" s="241">
        <f>+A27+1</f>
        <v>7</v>
      </c>
      <c r="B28" s="241"/>
      <c r="C28" s="232" t="str">
        <f>"Totals as of December 31, "&amp;'Historic TCOS'!O1-1&amp;""</f>
        <v>Totals as of December 31, 2013</v>
      </c>
      <c r="D28" s="498">
        <f>IF(D69="","",D69)</f>
        <v>0</v>
      </c>
      <c r="E28" s="687">
        <f>IF(E69="","",E69)</f>
        <v>0</v>
      </c>
      <c r="F28" s="233"/>
      <c r="G28" s="498">
        <f>IF(G69="","",G69)</f>
        <v>0</v>
      </c>
      <c r="H28" s="242"/>
      <c r="I28" s="498">
        <f>IF(I69="","",I69)</f>
        <v>0</v>
      </c>
      <c r="J28" s="498">
        <f>IF(J69="","",J69)</f>
        <v>0</v>
      </c>
      <c r="K28" s="498">
        <f>IF(K69="","",K69)</f>
        <v>0</v>
      </c>
      <c r="L28" s="248"/>
      <c r="M28" s="237"/>
      <c r="N28" s="237"/>
    </row>
    <row r="29" spans="1:14" ht="13.5" thickBot="1">
      <c r="A29" s="241">
        <f>+A28+1</f>
        <v>8</v>
      </c>
      <c r="B29" s="241"/>
      <c r="C29" s="287" t="s">
        <v>688</v>
      </c>
      <c r="D29" s="499">
        <f>IF(D28="",0,(D27+D28)/2)</f>
        <v>0</v>
      </c>
      <c r="E29" s="499">
        <f>IF(E28="",0,(E27+E28)/2)</f>
        <v>0</v>
      </c>
      <c r="F29" s="500"/>
      <c r="G29" s="499">
        <f>IF(G28="",0,(G27+G28)/2)</f>
        <v>0</v>
      </c>
      <c r="H29" s="270"/>
      <c r="I29" s="499">
        <f>IF(I28="",0,(I27+I28)/2)</f>
        <v>0</v>
      </c>
      <c r="J29" s="499">
        <f>IF(J28="",0,(J27+J28)/2)</f>
        <v>0</v>
      </c>
      <c r="K29" s="499">
        <f>IF(K28="",0,(K27+K28)/2)</f>
        <v>0</v>
      </c>
      <c r="L29" s="248"/>
      <c r="M29" s="237"/>
      <c r="N29" s="237"/>
    </row>
    <row r="30" spans="1:14" ht="13.5" thickTop="1">
      <c r="A30" s="241"/>
      <c r="B30" s="241"/>
      <c r="D30" s="243"/>
      <c r="E30" s="233"/>
      <c r="F30" s="233"/>
      <c r="G30" s="244"/>
      <c r="H30" s="242"/>
      <c r="I30" s="244"/>
      <c r="J30" s="134"/>
      <c r="K30" s="247"/>
      <c r="L30" s="248"/>
      <c r="M30" s="237"/>
      <c r="N30" s="237"/>
    </row>
    <row r="31" spans="1:14" ht="12.75">
      <c r="A31" s="232"/>
      <c r="E31" s="232"/>
      <c r="F31" s="232"/>
      <c r="J31" s="134"/>
      <c r="K31" s="247"/>
      <c r="L31" s="248"/>
      <c r="M31" s="237"/>
      <c r="N31" s="237"/>
    </row>
    <row r="32" spans="1:14" ht="17.25">
      <c r="A32" s="241"/>
      <c r="B32" s="1212" t="str">
        <f>"Prepayments Account 165 - Balance @ 12/31/"&amp;D34&amp;""</f>
        <v>Prepayments Account 165 - Balance @ 12/31/2014</v>
      </c>
      <c r="C32" s="1215"/>
      <c r="D32" s="1215"/>
      <c r="E32" s="1215"/>
      <c r="F32" s="1215"/>
      <c r="G32" s="1215"/>
      <c r="H32" s="1215"/>
      <c r="I32" s="1215"/>
      <c r="J32" s="1215"/>
      <c r="K32" s="247"/>
      <c r="L32" s="248"/>
      <c r="M32" s="237"/>
      <c r="N32" s="237"/>
    </row>
    <row r="33" spans="1:14" ht="12.75">
      <c r="A33" s="241"/>
      <c r="B33" s="484"/>
      <c r="C33" s="486"/>
      <c r="D33" s="150"/>
      <c r="E33" s="112"/>
      <c r="F33" s="232"/>
      <c r="G33" s="112" t="s">
        <v>525</v>
      </c>
      <c r="I33" s="110" t="s">
        <v>556</v>
      </c>
      <c r="J33" s="110" t="s">
        <v>556</v>
      </c>
      <c r="K33" s="110" t="s">
        <v>618</v>
      </c>
      <c r="L33"/>
      <c r="M33" s="237"/>
      <c r="N33" s="237"/>
    </row>
    <row r="34" spans="1:14" ht="13.5">
      <c r="A34" s="241"/>
      <c r="B34" s="484"/>
      <c r="C34" s="487"/>
      <c r="D34" s="488" t="str">
        <f>""&amp;'Historic TCOS'!O1</f>
        <v>2014</v>
      </c>
      <c r="E34" s="110" t="s">
        <v>359</v>
      </c>
      <c r="F34" s="232"/>
      <c r="G34" s="110" t="s">
        <v>556</v>
      </c>
      <c r="I34" s="110" t="s">
        <v>333</v>
      </c>
      <c r="J34" s="110" t="s">
        <v>600</v>
      </c>
      <c r="K34" s="110" t="s">
        <v>619</v>
      </c>
      <c r="L34"/>
      <c r="M34" s="237"/>
      <c r="N34" s="237"/>
    </row>
    <row r="35" spans="1:14" ht="12.75">
      <c r="A35" s="241">
        <f>+A29+1</f>
        <v>9</v>
      </c>
      <c r="B35" s="115" t="s">
        <v>528</v>
      </c>
      <c r="C35" s="115" t="s">
        <v>606</v>
      </c>
      <c r="D35" s="115" t="s">
        <v>526</v>
      </c>
      <c r="E35" s="115" t="s">
        <v>290</v>
      </c>
      <c r="F35" s="232"/>
      <c r="G35" s="115" t="s">
        <v>334</v>
      </c>
      <c r="I35" s="115" t="s">
        <v>334</v>
      </c>
      <c r="J35" s="115" t="s">
        <v>334</v>
      </c>
      <c r="K35" s="115" t="s">
        <v>335</v>
      </c>
      <c r="L35" s="115" t="s">
        <v>508</v>
      </c>
      <c r="M35" s="237"/>
      <c r="N35" s="237"/>
    </row>
    <row r="36" spans="1:14" ht="12.75">
      <c r="A36" s="241"/>
      <c r="B36" s="484"/>
      <c r="C36" s="486"/>
      <c r="D36" s="486"/>
      <c r="E36" s="486"/>
      <c r="F36" s="232"/>
      <c r="G36" s="486"/>
      <c r="I36" s="486"/>
      <c r="J36" s="486"/>
      <c r="K36" s="640"/>
      <c r="L36"/>
      <c r="M36" s="237"/>
      <c r="N36" s="237"/>
    </row>
    <row r="37" spans="1:14" ht="12.75">
      <c r="A37" s="241">
        <f>+A35+1</f>
        <v>10</v>
      </c>
      <c r="B37" s="153" t="s">
        <v>336</v>
      </c>
      <c r="C37" s="1099" t="s">
        <v>337</v>
      </c>
      <c r="D37" s="1097">
        <v>0</v>
      </c>
      <c r="E37" s="315">
        <f>+D37-K37</f>
        <v>0</v>
      </c>
      <c r="F37" s="232"/>
      <c r="G37" s="411"/>
      <c r="I37" s="411"/>
      <c r="J37" s="411"/>
      <c r="K37" s="411">
        <f aca="true" t="shared" si="0" ref="K37:K47">+G37+I37+J37</f>
        <v>0</v>
      </c>
      <c r="L37"/>
      <c r="M37" s="237"/>
      <c r="N37" s="237"/>
    </row>
    <row r="38" spans="1:14" ht="12.75">
      <c r="A38" s="241">
        <f>+A37+1</f>
        <v>11</v>
      </c>
      <c r="B38" s="1067" t="s">
        <v>1031</v>
      </c>
      <c r="C38" s="1099" t="s">
        <v>338</v>
      </c>
      <c r="D38" s="1097">
        <v>0</v>
      </c>
      <c r="E38" s="315">
        <f>+D38-K38</f>
        <v>0</v>
      </c>
      <c r="F38" s="232"/>
      <c r="G38" s="411"/>
      <c r="I38" s="411"/>
      <c r="J38" s="411"/>
      <c r="K38" s="411">
        <f t="shared" si="0"/>
        <v>0</v>
      </c>
      <c r="L38"/>
      <c r="M38" s="237"/>
      <c r="N38" s="237"/>
    </row>
    <row r="39" spans="1:14" ht="12.75">
      <c r="A39" s="241">
        <f aca="true" t="shared" si="1" ref="A39:A46">+A38+1</f>
        <v>12</v>
      </c>
      <c r="B39" s="153" t="s">
        <v>355</v>
      </c>
      <c r="C39" s="1099" t="s">
        <v>356</v>
      </c>
      <c r="D39" s="1097">
        <v>0</v>
      </c>
      <c r="E39" s="315">
        <f>+D39-K39</f>
        <v>0</v>
      </c>
      <c r="F39" s="232"/>
      <c r="G39" s="411"/>
      <c r="I39" s="411"/>
      <c r="J39" s="411"/>
      <c r="K39" s="411">
        <f t="shared" si="0"/>
        <v>0</v>
      </c>
      <c r="L39"/>
      <c r="M39" s="237"/>
      <c r="N39" s="237"/>
    </row>
    <row r="40" spans="1:14" ht="12.75">
      <c r="A40" s="241">
        <f t="shared" si="1"/>
        <v>13</v>
      </c>
      <c r="B40" s="153" t="s">
        <v>339</v>
      </c>
      <c r="C40" s="1099" t="s">
        <v>340</v>
      </c>
      <c r="D40" s="1097">
        <v>0</v>
      </c>
      <c r="E40" s="315">
        <f>+D40-K40</f>
        <v>0</v>
      </c>
      <c r="F40" s="232"/>
      <c r="G40" s="411"/>
      <c r="I40" s="411"/>
      <c r="J40" s="411"/>
      <c r="K40" s="411">
        <f t="shared" si="0"/>
        <v>0</v>
      </c>
      <c r="L40"/>
      <c r="M40" s="237"/>
      <c r="N40" s="237"/>
    </row>
    <row r="41" spans="1:14" ht="12.75">
      <c r="A41" s="241">
        <f t="shared" si="1"/>
        <v>14</v>
      </c>
      <c r="B41" s="153" t="s">
        <v>341</v>
      </c>
      <c r="C41" s="1099" t="s">
        <v>342</v>
      </c>
      <c r="D41" s="1097">
        <v>0</v>
      </c>
      <c r="E41" s="411">
        <f>+D41-K41</f>
        <v>0</v>
      </c>
      <c r="F41" s="232"/>
      <c r="G41" s="411"/>
      <c r="I41" s="411"/>
      <c r="J41" s="411"/>
      <c r="K41" s="411">
        <f t="shared" si="0"/>
        <v>0</v>
      </c>
      <c r="L41" s="146"/>
      <c r="M41" s="237"/>
      <c r="N41" s="237"/>
    </row>
    <row r="42" spans="1:14" ht="12.75">
      <c r="A42" s="241">
        <f t="shared" si="1"/>
        <v>15</v>
      </c>
      <c r="B42" s="153" t="s">
        <v>343</v>
      </c>
      <c r="C42" s="1099" t="s">
        <v>344</v>
      </c>
      <c r="D42" s="1097">
        <v>0</v>
      </c>
      <c r="E42" s="481">
        <f>+D42</f>
        <v>0</v>
      </c>
      <c r="F42" s="232"/>
      <c r="G42" s="481"/>
      <c r="I42" s="481"/>
      <c r="J42" s="481"/>
      <c r="K42" s="481">
        <f t="shared" si="0"/>
        <v>0</v>
      </c>
      <c r="L42" s="146"/>
      <c r="M42" s="237"/>
      <c r="N42" s="237"/>
    </row>
    <row r="43" spans="1:14" ht="12.75">
      <c r="A43" s="241">
        <f t="shared" si="1"/>
        <v>16</v>
      </c>
      <c r="B43" s="153" t="s">
        <v>345</v>
      </c>
      <c r="C43" s="1099" t="s">
        <v>346</v>
      </c>
      <c r="D43" s="1097">
        <v>0</v>
      </c>
      <c r="E43" s="411">
        <f>+D43-K43</f>
        <v>0</v>
      </c>
      <c r="F43" s="232"/>
      <c r="G43" s="411"/>
      <c r="I43" s="411"/>
      <c r="J43" s="411"/>
      <c r="K43" s="481">
        <f t="shared" si="0"/>
        <v>0</v>
      </c>
      <c r="L43" s="146"/>
      <c r="M43" s="237"/>
      <c r="N43" s="237"/>
    </row>
    <row r="44" spans="1:14" ht="12.75">
      <c r="A44" s="241">
        <f t="shared" si="1"/>
        <v>17</v>
      </c>
      <c r="B44" s="153" t="s">
        <v>347</v>
      </c>
      <c r="C44" s="1099" t="s">
        <v>348</v>
      </c>
      <c r="D44" s="1097">
        <v>0</v>
      </c>
      <c r="E44" s="411"/>
      <c r="F44" s="232"/>
      <c r="G44" s="411"/>
      <c r="I44" s="411"/>
      <c r="J44" s="411"/>
      <c r="K44" s="481">
        <f t="shared" si="0"/>
        <v>0</v>
      </c>
      <c r="L44" s="101"/>
      <c r="M44" s="237"/>
      <c r="N44" s="237"/>
    </row>
    <row r="45" spans="1:14" ht="12.75">
      <c r="A45" s="241">
        <f t="shared" si="1"/>
        <v>18</v>
      </c>
      <c r="B45" s="153" t="s">
        <v>349</v>
      </c>
      <c r="C45" s="1099" t="s">
        <v>350</v>
      </c>
      <c r="D45" s="1097">
        <v>0</v>
      </c>
      <c r="E45" s="411">
        <f>+D45</f>
        <v>0</v>
      </c>
      <c r="F45" s="232"/>
      <c r="G45" s="411"/>
      <c r="I45" s="411"/>
      <c r="J45" s="411"/>
      <c r="K45" s="481">
        <f t="shared" si="0"/>
        <v>0</v>
      </c>
      <c r="L45" s="146"/>
      <c r="M45" s="237"/>
      <c r="N45" s="237"/>
    </row>
    <row r="46" spans="1:14" ht="12.75">
      <c r="A46" s="241">
        <f t="shared" si="1"/>
        <v>19</v>
      </c>
      <c r="B46" s="153" t="s">
        <v>357</v>
      </c>
      <c r="C46" s="1099" t="s">
        <v>358</v>
      </c>
      <c r="D46" s="1097">
        <v>0</v>
      </c>
      <c r="E46" s="411">
        <f>D46</f>
        <v>0</v>
      </c>
      <c r="F46" s="232"/>
      <c r="G46" s="411"/>
      <c r="I46" s="411"/>
      <c r="J46" s="608"/>
      <c r="K46" s="481">
        <f t="shared" si="0"/>
        <v>0</v>
      </c>
      <c r="L46" s="146"/>
      <c r="M46" s="237"/>
      <c r="N46" s="237"/>
    </row>
    <row r="47" spans="1:14" ht="12.75">
      <c r="A47" s="241"/>
      <c r="B47" s="153"/>
      <c r="C47" s="153"/>
      <c r="D47" s="489"/>
      <c r="E47" s="411"/>
      <c r="F47" s="232"/>
      <c r="G47" s="411"/>
      <c r="I47" s="411"/>
      <c r="J47" s="411"/>
      <c r="K47" s="481">
        <f t="shared" si="0"/>
        <v>0</v>
      </c>
      <c r="L47" s="146"/>
      <c r="M47" s="237"/>
      <c r="N47" s="237"/>
    </row>
    <row r="48" spans="1:14" ht="13.5" thickBot="1">
      <c r="A48" s="241"/>
      <c r="B48" s="153"/>
      <c r="C48" s="153"/>
      <c r="D48" s="481"/>
      <c r="E48" s="315"/>
      <c r="F48" s="232"/>
      <c r="G48" s="411"/>
      <c r="I48" s="411"/>
      <c r="J48" s="411"/>
      <c r="K48" s="411"/>
      <c r="L48"/>
      <c r="M48" s="237"/>
      <c r="N48" s="237"/>
    </row>
    <row r="49" spans="1:14" ht="12.75">
      <c r="A49" s="241"/>
      <c r="B49" s="484"/>
      <c r="C49" s="166" t="s">
        <v>291</v>
      </c>
      <c r="D49" s="490">
        <f>SUM(D37:D48)</f>
        <v>0</v>
      </c>
      <c r="E49" s="685">
        <f>SUM(E37:E48)</f>
        <v>0</v>
      </c>
      <c r="F49" s="232"/>
      <c r="G49" s="490">
        <f>SUM(G37:G48)</f>
        <v>0</v>
      </c>
      <c r="I49" s="490">
        <f>SUM(I37:I48)</f>
        <v>0</v>
      </c>
      <c r="J49" s="490">
        <f>SUM(J37:J48)</f>
        <v>0</v>
      </c>
      <c r="K49" s="490">
        <f>SUM(K37:K48)</f>
        <v>0</v>
      </c>
      <c r="L49"/>
      <c r="M49" s="237"/>
      <c r="N49" s="237"/>
    </row>
    <row r="50" spans="1:14" ht="12.75">
      <c r="A50" s="241"/>
      <c r="K50" s="491"/>
      <c r="L50"/>
      <c r="M50" s="237"/>
      <c r="N50" s="237"/>
    </row>
    <row r="51" spans="1:15" ht="12.75">
      <c r="A51" s="241"/>
      <c r="B51"/>
      <c r="C51"/>
      <c r="D51"/>
      <c r="E51"/>
      <c r="F51"/>
      <c r="G51"/>
      <c r="H51"/>
      <c r="I51"/>
      <c r="J51"/>
      <c r="K51"/>
      <c r="L51"/>
      <c r="M51"/>
      <c r="N51"/>
      <c r="O51"/>
    </row>
    <row r="52" spans="1:15" ht="17.25">
      <c r="A52" s="241"/>
      <c r="B52" s="1212" t="str">
        <f>"Prepayments Account 165 - Balance @ 12/31/ "&amp;D54&amp;""</f>
        <v>Prepayments Account 165 - Balance @ 12/31/ 2013</v>
      </c>
      <c r="C52" s="1212"/>
      <c r="D52" s="1212"/>
      <c r="E52" s="1212"/>
      <c r="F52" s="1212"/>
      <c r="G52" s="1212"/>
      <c r="H52" s="1212"/>
      <c r="I52" s="1212"/>
      <c r="J52" s="1212"/>
      <c r="K52" s="247"/>
      <c r="L52" s="248"/>
      <c r="M52" s="237"/>
      <c r="N52"/>
      <c r="O52"/>
    </row>
    <row r="53" spans="1:15" ht="12.75">
      <c r="A53" s="241"/>
      <c r="B53" s="732"/>
      <c r="C53" s="733"/>
      <c r="D53" s="734"/>
      <c r="E53" s="112"/>
      <c r="F53" s="232"/>
      <c r="G53" s="112" t="s">
        <v>525</v>
      </c>
      <c r="I53" s="110" t="s">
        <v>556</v>
      </c>
      <c r="J53" s="110" t="s">
        <v>556</v>
      </c>
      <c r="K53" s="110" t="s">
        <v>618</v>
      </c>
      <c r="L53"/>
      <c r="M53" s="237"/>
      <c r="N53"/>
      <c r="O53"/>
    </row>
    <row r="54" spans="1:15" ht="13.5">
      <c r="A54" s="241"/>
      <c r="B54" s="732"/>
      <c r="C54" s="735"/>
      <c r="D54" s="110" t="str">
        <f>""&amp;'Historic TCOS'!O1-1</f>
        <v>2013</v>
      </c>
      <c r="E54" s="110" t="s">
        <v>359</v>
      </c>
      <c r="F54" s="232"/>
      <c r="G54" s="110" t="s">
        <v>556</v>
      </c>
      <c r="I54" s="110" t="s">
        <v>333</v>
      </c>
      <c r="J54" s="110" t="s">
        <v>600</v>
      </c>
      <c r="K54" s="110" t="s">
        <v>619</v>
      </c>
      <c r="L54"/>
      <c r="M54" s="237"/>
      <c r="N54"/>
      <c r="O54"/>
    </row>
    <row r="55" spans="1:15" ht="12.75">
      <c r="A55" s="241">
        <f>+A46+1</f>
        <v>20</v>
      </c>
      <c r="B55" s="115" t="s">
        <v>528</v>
      </c>
      <c r="C55" s="115" t="s">
        <v>606</v>
      </c>
      <c r="D55" s="115" t="s">
        <v>526</v>
      </c>
      <c r="E55" s="115" t="s">
        <v>290</v>
      </c>
      <c r="F55" s="232"/>
      <c r="G55" s="115" t="s">
        <v>334</v>
      </c>
      <c r="I55" s="115" t="s">
        <v>334</v>
      </c>
      <c r="J55" s="115" t="s">
        <v>334</v>
      </c>
      <c r="K55" s="115" t="s">
        <v>335</v>
      </c>
      <c r="L55" s="115" t="s">
        <v>508</v>
      </c>
      <c r="M55" s="237"/>
      <c r="N55"/>
      <c r="O55"/>
    </row>
    <row r="56" spans="1:15" ht="12.75">
      <c r="A56" s="241"/>
      <c r="B56" s="484"/>
      <c r="C56" s="486"/>
      <c r="D56" s="486"/>
      <c r="E56" s="486"/>
      <c r="F56" s="232"/>
      <c r="G56" s="486"/>
      <c r="I56" s="486"/>
      <c r="J56" s="486"/>
      <c r="K56" s="486"/>
      <c r="L56"/>
      <c r="M56" s="237"/>
      <c r="N56"/>
      <c r="O56"/>
    </row>
    <row r="57" spans="1:15" ht="12.75">
      <c r="A57" s="241">
        <f>+A55+1</f>
        <v>21</v>
      </c>
      <c r="B57" s="153" t="s">
        <v>336</v>
      </c>
      <c r="C57" s="1099" t="s">
        <v>337</v>
      </c>
      <c r="D57" s="1097">
        <v>0</v>
      </c>
      <c r="E57" s="315">
        <f>+D57-K57</f>
        <v>0</v>
      </c>
      <c r="F57" s="232"/>
      <c r="G57" s="411"/>
      <c r="I57" s="411"/>
      <c r="J57" s="411"/>
      <c r="K57" s="411">
        <f aca="true" t="shared" si="2" ref="K57:K67">+G57+I57+J57</f>
        <v>0</v>
      </c>
      <c r="L57"/>
      <c r="M57" s="237"/>
      <c r="N57"/>
      <c r="O57"/>
    </row>
    <row r="58" spans="1:15" ht="12.75">
      <c r="A58" s="241">
        <f>+A57+1</f>
        <v>22</v>
      </c>
      <c r="B58" s="1067" t="s">
        <v>1030</v>
      </c>
      <c r="C58" s="1099" t="s">
        <v>338</v>
      </c>
      <c r="D58" s="1097">
        <v>0</v>
      </c>
      <c r="E58" s="315">
        <f>+D58-K58</f>
        <v>0</v>
      </c>
      <c r="F58" s="232"/>
      <c r="G58" s="411"/>
      <c r="I58" s="411"/>
      <c r="J58" s="411"/>
      <c r="K58" s="411">
        <f t="shared" si="2"/>
        <v>0</v>
      </c>
      <c r="L58"/>
      <c r="M58" s="237"/>
      <c r="N58"/>
      <c r="O58"/>
    </row>
    <row r="59" spans="1:15" ht="12.75">
      <c r="A59" s="241">
        <f aca="true" t="shared" si="3" ref="A59:A67">+A58+1</f>
        <v>23</v>
      </c>
      <c r="B59" s="153" t="s">
        <v>355</v>
      </c>
      <c r="C59" s="1099" t="s">
        <v>356</v>
      </c>
      <c r="D59" s="1097">
        <v>0</v>
      </c>
      <c r="E59" s="315">
        <f>+D59-K59</f>
        <v>0</v>
      </c>
      <c r="F59" s="232"/>
      <c r="G59" s="411"/>
      <c r="I59" s="411"/>
      <c r="J59" s="411"/>
      <c r="K59" s="411">
        <f t="shared" si="2"/>
        <v>0</v>
      </c>
      <c r="L59"/>
      <c r="M59" s="237"/>
      <c r="N59"/>
      <c r="O59"/>
    </row>
    <row r="60" spans="1:15" ht="12.75">
      <c r="A60" s="241">
        <f t="shared" si="3"/>
        <v>24</v>
      </c>
      <c r="B60" s="153" t="s">
        <v>339</v>
      </c>
      <c r="C60" s="1099" t="s">
        <v>340</v>
      </c>
      <c r="D60" s="1097">
        <v>0</v>
      </c>
      <c r="E60" s="315">
        <f>+D60-K60</f>
        <v>0</v>
      </c>
      <c r="F60" s="232"/>
      <c r="G60" s="411"/>
      <c r="I60" s="411"/>
      <c r="J60" s="411"/>
      <c r="K60" s="411">
        <f t="shared" si="2"/>
        <v>0</v>
      </c>
      <c r="L60"/>
      <c r="M60" s="237"/>
      <c r="N60"/>
      <c r="O60"/>
    </row>
    <row r="61" spans="1:15" ht="12.75">
      <c r="A61" s="241">
        <f t="shared" si="3"/>
        <v>25</v>
      </c>
      <c r="B61" s="153" t="s">
        <v>341</v>
      </c>
      <c r="C61" s="1099" t="s">
        <v>342</v>
      </c>
      <c r="D61" s="1097">
        <v>0</v>
      </c>
      <c r="E61" s="411">
        <f>+D61-K61</f>
        <v>0</v>
      </c>
      <c r="F61" s="232"/>
      <c r="G61" s="411"/>
      <c r="I61" s="411"/>
      <c r="J61" s="411"/>
      <c r="K61" s="411">
        <f t="shared" si="2"/>
        <v>0</v>
      </c>
      <c r="L61" s="146"/>
      <c r="M61" s="237"/>
      <c r="N61"/>
      <c r="O61"/>
    </row>
    <row r="62" spans="1:15" ht="12.75">
      <c r="A62" s="241">
        <f t="shared" si="3"/>
        <v>26</v>
      </c>
      <c r="B62" s="153" t="s">
        <v>343</v>
      </c>
      <c r="C62" s="1099" t="s">
        <v>344</v>
      </c>
      <c r="D62" s="1097">
        <v>0</v>
      </c>
      <c r="E62" s="481">
        <f>+D62</f>
        <v>0</v>
      </c>
      <c r="F62" s="232"/>
      <c r="G62" s="481"/>
      <c r="I62" s="481"/>
      <c r="J62" s="481"/>
      <c r="K62" s="481">
        <f t="shared" si="2"/>
        <v>0</v>
      </c>
      <c r="L62" s="146"/>
      <c r="M62" s="237"/>
      <c r="N62"/>
      <c r="O62"/>
    </row>
    <row r="63" spans="1:15" ht="12.75">
      <c r="A63" s="241">
        <f t="shared" si="3"/>
        <v>27</v>
      </c>
      <c r="B63" s="153" t="s">
        <v>345</v>
      </c>
      <c r="C63" s="1099" t="s">
        <v>346</v>
      </c>
      <c r="D63" s="1097">
        <v>0</v>
      </c>
      <c r="E63" s="411">
        <f>+D63-K63</f>
        <v>0</v>
      </c>
      <c r="F63" s="232"/>
      <c r="G63" s="411"/>
      <c r="I63" s="411"/>
      <c r="J63" s="411"/>
      <c r="K63" s="481">
        <f t="shared" si="2"/>
        <v>0</v>
      </c>
      <c r="L63" s="146"/>
      <c r="M63" s="237"/>
      <c r="N63"/>
      <c r="O63"/>
    </row>
    <row r="64" spans="1:15" ht="12.75">
      <c r="A64" s="241">
        <f t="shared" si="3"/>
        <v>28</v>
      </c>
      <c r="B64" s="153" t="s">
        <v>347</v>
      </c>
      <c r="C64" s="1099" t="s">
        <v>348</v>
      </c>
      <c r="D64" s="1097">
        <v>0</v>
      </c>
      <c r="E64" s="411"/>
      <c r="F64" s="232"/>
      <c r="G64" s="411"/>
      <c r="I64" s="411"/>
      <c r="J64" s="411"/>
      <c r="K64" s="481">
        <f t="shared" si="2"/>
        <v>0</v>
      </c>
      <c r="L64" s="146"/>
      <c r="M64" s="237"/>
      <c r="N64"/>
      <c r="O64"/>
    </row>
    <row r="65" spans="1:15" ht="12.75">
      <c r="A65" s="241">
        <f t="shared" si="3"/>
        <v>29</v>
      </c>
      <c r="B65" s="153" t="s">
        <v>349</v>
      </c>
      <c r="C65" s="1099" t="s">
        <v>350</v>
      </c>
      <c r="D65" s="1097">
        <v>0</v>
      </c>
      <c r="E65" s="411">
        <f>+D65</f>
        <v>0</v>
      </c>
      <c r="F65" s="232"/>
      <c r="G65" s="411"/>
      <c r="I65" s="411"/>
      <c r="J65" s="411"/>
      <c r="K65" s="481">
        <f t="shared" si="2"/>
        <v>0</v>
      </c>
      <c r="L65" s="101"/>
      <c r="M65" s="237"/>
      <c r="N65"/>
      <c r="O65"/>
    </row>
    <row r="66" spans="1:15" ht="12.75">
      <c r="A66" s="241">
        <f t="shared" si="3"/>
        <v>30</v>
      </c>
      <c r="B66" s="153" t="s">
        <v>357</v>
      </c>
      <c r="C66" s="1099" t="s">
        <v>358</v>
      </c>
      <c r="D66" s="1097">
        <v>0</v>
      </c>
      <c r="E66" s="411">
        <f>D66</f>
        <v>0</v>
      </c>
      <c r="F66" s="232"/>
      <c r="G66" s="411"/>
      <c r="I66" s="411"/>
      <c r="J66" s="608"/>
      <c r="K66" s="481">
        <f t="shared" si="2"/>
        <v>0</v>
      </c>
      <c r="L66" s="146"/>
      <c r="M66" s="237"/>
      <c r="N66"/>
      <c r="O66"/>
    </row>
    <row r="67" spans="1:15" ht="12.75">
      <c r="A67" s="241">
        <f t="shared" si="3"/>
        <v>31</v>
      </c>
      <c r="B67" s="153"/>
      <c r="C67" s="153"/>
      <c r="D67" s="489"/>
      <c r="E67" s="411"/>
      <c r="F67" s="232"/>
      <c r="G67" s="411"/>
      <c r="I67" s="411"/>
      <c r="J67" s="411"/>
      <c r="K67" s="481">
        <f t="shared" si="2"/>
        <v>0</v>
      </c>
      <c r="L67" s="146"/>
      <c r="M67" s="237"/>
      <c r="N67"/>
      <c r="O67"/>
    </row>
    <row r="68" spans="1:15" ht="13.5" thickBot="1">
      <c r="A68" s="241"/>
      <c r="B68" s="153"/>
      <c r="C68" s="153"/>
      <c r="D68" s="481"/>
      <c r="E68" s="315"/>
      <c r="F68" s="232"/>
      <c r="G68" s="411"/>
      <c r="I68" s="411"/>
      <c r="J68" s="411"/>
      <c r="K68" s="411"/>
      <c r="L68"/>
      <c r="M68" s="237"/>
      <c r="N68"/>
      <c r="O68"/>
    </row>
    <row r="69" spans="1:15" ht="12.75">
      <c r="A69" s="241"/>
      <c r="B69" s="484"/>
      <c r="C69" s="166" t="s">
        <v>291</v>
      </c>
      <c r="D69" s="490">
        <f>SUM(D57:D68)</f>
        <v>0</v>
      </c>
      <c r="E69" s="685">
        <f>SUM(E57:E68)</f>
        <v>0</v>
      </c>
      <c r="F69" s="232"/>
      <c r="G69" s="490">
        <f>SUM(G57:G68)</f>
        <v>0</v>
      </c>
      <c r="I69" s="490">
        <f>SUM(I57:I68)</f>
        <v>0</v>
      </c>
      <c r="J69" s="490">
        <f>SUM(J57:J68)</f>
        <v>0</v>
      </c>
      <c r="K69" s="490">
        <f>SUM(K57:K68)</f>
        <v>0</v>
      </c>
      <c r="L69"/>
      <c r="M69" s="237"/>
      <c r="N69"/>
      <c r="O69"/>
    </row>
    <row r="70" spans="1:15" ht="12.75">
      <c r="A70" s="241"/>
      <c r="B70" s="241"/>
      <c r="C70"/>
      <c r="D70"/>
      <c r="E70"/>
      <c r="F70"/>
      <c r="G70"/>
      <c r="H70"/>
      <c r="I70"/>
      <c r="J70"/>
      <c r="K70"/>
      <c r="L70"/>
      <c r="M70"/>
      <c r="N70"/>
      <c r="O70"/>
    </row>
    <row r="71" spans="1:15" ht="12.75">
      <c r="A71"/>
      <c r="B71"/>
      <c r="C71"/>
      <c r="D71"/>
      <c r="E71"/>
      <c r="F71"/>
      <c r="G71"/>
      <c r="H71"/>
      <c r="I71" s="578"/>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sheetData>
  <sheetProtection/>
  <mergeCells count="11">
    <mergeCell ref="G10:G11"/>
    <mergeCell ref="B8:K8"/>
    <mergeCell ref="A1:L1"/>
    <mergeCell ref="A2:L2"/>
    <mergeCell ref="A3:L3"/>
    <mergeCell ref="A4:L4"/>
    <mergeCell ref="B52:J52"/>
    <mergeCell ref="B22:K22"/>
    <mergeCell ref="E10:E11"/>
    <mergeCell ref="I10:I11"/>
    <mergeCell ref="B32:J32"/>
  </mergeCells>
  <printOptions/>
  <pageMargins left="1.08" right="0.75" top="0.7" bottom="0.41" header="0.75" footer="0.27"/>
  <pageSetup fitToHeight="1" fitToWidth="1" horizontalDpi="600" verticalDpi="600" orientation="landscape" scale="53"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E22" sqref="E22"/>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207" t="str">
        <f>'Historic TCOS'!$F$3</f>
        <v>AEPTCo subsidiaries in PJM</v>
      </c>
      <c r="B1" s="1207" t="str">
        <f>'Historic TCOS'!$F$3</f>
        <v>AEPTCo subsidiaries in PJM</v>
      </c>
      <c r="C1" s="1207" t="str">
        <f>'Historic TCOS'!$F$3</f>
        <v>AEPTCo subsidiaries in PJM</v>
      </c>
      <c r="D1" s="1207" t="str">
        <f>'Historic TCOS'!$F$3</f>
        <v>AEPTCo subsidiaries in PJM</v>
      </c>
      <c r="E1" s="1207" t="str">
        <f>'Historic TCOS'!$F$3</f>
        <v>AEPTCo subsidiaries in PJM</v>
      </c>
      <c r="F1" s="171"/>
      <c r="G1" s="171"/>
      <c r="H1" s="171"/>
      <c r="I1" s="171"/>
      <c r="J1" s="171"/>
      <c r="K1" s="171"/>
      <c r="L1" s="171"/>
      <c r="M1" s="171"/>
      <c r="N1" s="171"/>
      <c r="O1" s="171"/>
    </row>
    <row r="2" spans="1:15" ht="15">
      <c r="A2" s="1206" t="str">
        <f>"Cost of Service Formula Rate Using "&amp;'Historic TCOS'!O1&amp;" FF1 Balances"</f>
        <v>Cost of Service Formula Rate Using 2014 FF1 Balances</v>
      </c>
      <c r="B2" s="1206"/>
      <c r="C2" s="1206"/>
      <c r="D2" s="1206"/>
      <c r="E2" s="1206"/>
      <c r="F2" s="274"/>
      <c r="G2" s="274"/>
      <c r="H2" s="274"/>
      <c r="I2" s="274"/>
      <c r="J2" s="274"/>
      <c r="K2" s="274"/>
      <c r="L2" s="274"/>
      <c r="M2" s="275"/>
      <c r="N2" s="275"/>
      <c r="O2" s="275"/>
    </row>
    <row r="3" spans="1:15" ht="15">
      <c r="A3" s="1206" t="s">
        <v>746</v>
      </c>
      <c r="B3" s="1206"/>
      <c r="C3" s="1206"/>
      <c r="D3" s="1206"/>
      <c r="E3" s="1206"/>
      <c r="F3" s="274"/>
      <c r="G3" s="274"/>
      <c r="H3" s="274"/>
      <c r="I3" s="274"/>
      <c r="J3" s="274"/>
      <c r="K3" s="274"/>
      <c r="L3" s="274"/>
      <c r="M3" s="274"/>
      <c r="N3" s="274"/>
      <c r="O3" s="274"/>
    </row>
    <row r="4" spans="1:15" ht="15">
      <c r="A4" s="1210" t="str">
        <f>+'WS C  - Working Capital'!A4:O4</f>
        <v>AEP KENTUCKY TRANSMISSION COMPANY</v>
      </c>
      <c r="B4" s="1210"/>
      <c r="C4" s="1210"/>
      <c r="D4" s="1210"/>
      <c r="E4" s="1210"/>
      <c r="F4" s="12"/>
      <c r="G4" s="12"/>
      <c r="H4" s="12"/>
      <c r="I4" s="12"/>
      <c r="J4" s="12"/>
      <c r="K4" s="12"/>
      <c r="L4" s="12"/>
      <c r="M4" s="12"/>
      <c r="N4" s="12"/>
      <c r="O4" s="12"/>
    </row>
    <row r="6" spans="1:3" ht="12.75">
      <c r="A6" s="588" t="s">
        <v>608</v>
      </c>
      <c r="B6" s="273" t="s">
        <v>601</v>
      </c>
      <c r="C6" s="273" t="s">
        <v>602</v>
      </c>
    </row>
    <row r="7" spans="1:3" ht="12.75">
      <c r="A7" s="588" t="s">
        <v>546</v>
      </c>
      <c r="B7" s="588" t="s">
        <v>606</v>
      </c>
      <c r="C7" s="588">
        <f>+'Historic TCOS'!O1</f>
        <v>2014</v>
      </c>
    </row>
    <row r="8" spans="1:3" ht="12.75">
      <c r="A8" s="226"/>
      <c r="B8" s="783"/>
      <c r="C8" s="273"/>
    </row>
    <row r="9" spans="1:4" ht="12.75">
      <c r="A9" s="6">
        <v>1</v>
      </c>
      <c r="B9" s="784" t="str">
        <f>"Net Funds from IPP Customers 12/31/"&amp;'Historic TCOS'!O1-1&amp;" ("&amp;'Historic TCOS'!O1&amp;" FORM 1, P269, line 24.b)"</f>
        <v>Net Funds from IPP Customers 12/31/2013 (2014 FORM 1, P269, line 24.b)</v>
      </c>
      <c r="C9" s="1100">
        <v>0</v>
      </c>
      <c r="D9" s="146"/>
    </row>
    <row r="10" spans="2:4" ht="12.75">
      <c r="B10" s="741"/>
      <c r="D10" s="146"/>
    </row>
    <row r="11" spans="1:4" ht="12.75">
      <c r="A11" s="6">
        <v>2</v>
      </c>
      <c r="B11" s="1047" t="s">
        <v>180</v>
      </c>
      <c r="C11" s="1100">
        <v>0</v>
      </c>
      <c r="D11" s="146"/>
    </row>
    <row r="12" spans="2:4" ht="12.75">
      <c r="B12" s="1047"/>
      <c r="D12" s="146"/>
    </row>
    <row r="13" spans="1:4" ht="12.75">
      <c r="A13" s="6">
        <f>+A11+1</f>
        <v>3</v>
      </c>
      <c r="B13" s="1047" t="s">
        <v>421</v>
      </c>
      <c r="C13" s="1100">
        <v>0</v>
      </c>
      <c r="D13" s="146"/>
    </row>
    <row r="14" spans="2:4" ht="12.75">
      <c r="B14" s="1047"/>
      <c r="D14" s="146"/>
    </row>
    <row r="15" spans="1:4" ht="12.75">
      <c r="A15" s="6">
        <f>+A13+1</f>
        <v>4</v>
      </c>
      <c r="B15" s="1048" t="s">
        <v>760</v>
      </c>
      <c r="D15" s="146"/>
    </row>
    <row r="16" spans="1:4" ht="12.75">
      <c r="A16" s="6">
        <f>+A15+1</f>
        <v>5</v>
      </c>
      <c r="B16" s="1049" t="s">
        <v>422</v>
      </c>
      <c r="C16" s="1100">
        <v>0</v>
      </c>
      <c r="D16" s="146"/>
    </row>
    <row r="17" spans="1:4" ht="12.75">
      <c r="A17" s="6">
        <f>+A16+1</f>
        <v>6</v>
      </c>
      <c r="B17" s="696" t="s">
        <v>555</v>
      </c>
      <c r="C17" s="1101">
        <v>0</v>
      </c>
      <c r="D17" s="146"/>
    </row>
    <row r="18" spans="2:4" ht="12.75">
      <c r="B18" s="707"/>
      <c r="C18" s="162"/>
      <c r="D18" s="146"/>
    </row>
    <row r="19" spans="1:4" ht="12.75">
      <c r="A19" s="6">
        <f>+A17+1</f>
        <v>7</v>
      </c>
      <c r="B19" s="1050" t="str">
        <f>"Net Funds from IPP Customers 12/31/"&amp;'Historic TCOS'!O1&amp;" ("&amp;'Historic TCOS'!O1&amp;" FORM 1, P269, line 24.f)"</f>
        <v>Net Funds from IPP Customers 12/31/2014 (2014 FORM 1, P269, line 24.f)</v>
      </c>
      <c r="C19" s="201">
        <f>+C9+C11+C13+C16+C17</f>
        <v>0</v>
      </c>
      <c r="D19" s="276"/>
    </row>
    <row r="20" spans="2:4" ht="12.75">
      <c r="B20" s="707"/>
      <c r="D20" s="146"/>
    </row>
    <row r="21" spans="1:4" ht="12.75">
      <c r="A21" s="6">
        <f>+A19+1</f>
        <v>8</v>
      </c>
      <c r="B21" s="1049" t="str">
        <f>"Average Balance for Year as Indicated in Column ((ln "&amp;A9&amp;" + ln "&amp;A19&amp;")/2)"</f>
        <v>Average Balance for Year as Indicated in Column ((ln 1 + ln 7)/2)</v>
      </c>
      <c r="C21" s="302">
        <f>AVERAGE(C19,C9)</f>
        <v>0</v>
      </c>
      <c r="D21" s="146"/>
    </row>
    <row r="22" spans="2:4" ht="12.75">
      <c r="B22" s="707"/>
      <c r="D22" s="146"/>
    </row>
    <row r="23" spans="2:4" ht="12.75">
      <c r="B23" s="707"/>
      <c r="C23" s="201"/>
      <c r="D23" s="146"/>
    </row>
    <row r="24" spans="1:4" ht="15">
      <c r="A24" s="15" t="s">
        <v>287</v>
      </c>
      <c r="B24" s="1178" t="str">
        <f>"On this worksheet Company Records refers to  "&amp;A4&amp;"'s general ledger."</f>
        <v>On this worksheet Company Records refers to  AEP KENTUCKY TRANSMISSION COMPANY's general ledger.</v>
      </c>
      <c r="C24" s="730"/>
      <c r="D24" s="146"/>
    </row>
    <row r="25" spans="2:4" ht="12.75">
      <c r="B25" s="1184"/>
      <c r="D25" s="146"/>
    </row>
    <row r="26" ht="12.75">
      <c r="D26" s="146"/>
    </row>
    <row r="27" ht="12.75">
      <c r="D27" s="146"/>
    </row>
    <row r="28" ht="12.75">
      <c r="D28" s="146"/>
    </row>
    <row r="29" ht="12.75">
      <c r="D29" s="146"/>
    </row>
    <row r="30" ht="12.75">
      <c r="D30" s="277"/>
    </row>
    <row r="31" ht="12.75">
      <c r="D31" s="146"/>
    </row>
    <row r="32" ht="12.75">
      <c r="D32" s="146"/>
    </row>
    <row r="33" ht="12.75">
      <c r="D33" s="146"/>
    </row>
    <row r="34" spans="1:4" ht="12.75">
      <c r="A34" s="226"/>
      <c r="B34" s="146"/>
      <c r="C34" s="146"/>
      <c r="D34" s="146"/>
    </row>
    <row r="35" spans="1:3" ht="12.75">
      <c r="A35" s="226"/>
      <c r="B35" s="146"/>
      <c r="C35" s="146"/>
    </row>
    <row r="36" ht="12.75">
      <c r="C36" s="193"/>
    </row>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AO142"/>
  <sheetViews>
    <sheetView zoomScalePageLayoutView="0" workbookViewId="0" topLeftCell="A1">
      <selection activeCell="E22" sqref="E22"/>
    </sheetView>
  </sheetViews>
  <sheetFormatPr defaultColWidth="9.140625" defaultRowHeight="12.75"/>
  <cols>
    <col min="1" max="1" width="9.421875" style="95" customWidth="1"/>
    <col min="2" max="2" width="6.7109375" style="95" customWidth="1"/>
    <col min="3" max="7" width="12.7109375" style="95" customWidth="1"/>
    <col min="8" max="8" width="19.28125" style="95" customWidth="1"/>
    <col min="9" max="9" width="15.00390625" style="95" bestFit="1" customWidth="1"/>
    <col min="10" max="11" width="16.57421875" style="95" bestFit="1" customWidth="1"/>
    <col min="12" max="13" width="22.140625" style="95" bestFit="1" customWidth="1"/>
    <col min="14" max="14" width="8.421875" style="95" customWidth="1"/>
    <col min="15" max="38" width="12.7109375" style="95" customWidth="1"/>
    <col min="39" max="16384" width="9.140625" style="95" customWidth="1"/>
  </cols>
  <sheetData>
    <row r="1" spans="1:15" ht="15">
      <c r="A1" s="1207" t="str">
        <f>'Historic TCOS'!$F$3</f>
        <v>AEPTCo subsidiaries in PJM</v>
      </c>
      <c r="B1" s="1207" t="str">
        <f>'Historic TCOS'!$F$3</f>
        <v>AEPTCo subsidiaries in PJM</v>
      </c>
      <c r="C1" s="1207" t="str">
        <f>'Historic TCOS'!$F$3</f>
        <v>AEPTCo subsidiaries in PJM</v>
      </c>
      <c r="D1" s="1207" t="str">
        <f>'Historic TCOS'!$F$3</f>
        <v>AEPTCo subsidiaries in PJM</v>
      </c>
      <c r="E1" s="1207" t="str">
        <f>'Historic TCOS'!$F$3</f>
        <v>AEPTCo subsidiaries in PJM</v>
      </c>
      <c r="F1" s="1207" t="str">
        <f>'Historic TCOS'!$F$3</f>
        <v>AEPTCo subsidiaries in PJM</v>
      </c>
      <c r="G1" s="1207" t="str">
        <f>'Historic TCOS'!$F$3</f>
        <v>AEPTCo subsidiaries in PJM</v>
      </c>
      <c r="H1" s="1207" t="str">
        <f>'Historic TCOS'!$F$3</f>
        <v>AEPTCo subsidiaries in PJM</v>
      </c>
      <c r="I1" s="1207" t="str">
        <f>'Historic TCOS'!$F$3</f>
        <v>AEPTCo subsidiaries in PJM</v>
      </c>
      <c r="J1" s="1207" t="str">
        <f>'Historic TCOS'!$F$3</f>
        <v>AEPTCo subsidiaries in PJM</v>
      </c>
      <c r="K1" s="1207" t="str">
        <f>'Historic TCOS'!$F$3</f>
        <v>AEPTCo subsidiaries in PJM</v>
      </c>
      <c r="L1" s="171"/>
      <c r="M1" s="171"/>
      <c r="N1" s="171"/>
      <c r="O1" s="171"/>
    </row>
    <row r="2" spans="1:15" ht="15">
      <c r="A2" s="1206" t="str">
        <f>"Cost of Service Formula Rate Using "&amp;'Historic TCOS'!O1&amp;" FF1 Balances"</f>
        <v>Cost of Service Formula Rate Using 2014 FF1 Balances</v>
      </c>
      <c r="B2" s="1206"/>
      <c r="C2" s="1206"/>
      <c r="D2" s="1206"/>
      <c r="E2" s="1206"/>
      <c r="F2" s="1206"/>
      <c r="G2" s="1206"/>
      <c r="H2" s="1206"/>
      <c r="I2" s="1206"/>
      <c r="J2" s="1206"/>
      <c r="K2" s="1206"/>
      <c r="L2" s="275"/>
      <c r="M2" s="275"/>
      <c r="N2" s="275"/>
      <c r="O2" s="275"/>
    </row>
    <row r="3" spans="1:15" ht="15">
      <c r="A3" s="1206" t="s">
        <v>830</v>
      </c>
      <c r="B3" s="1206"/>
      <c r="C3" s="1206"/>
      <c r="D3" s="1206"/>
      <c r="E3" s="1206"/>
      <c r="F3" s="1206"/>
      <c r="G3" s="1206"/>
      <c r="H3" s="1206"/>
      <c r="I3" s="1206"/>
      <c r="J3" s="1206"/>
      <c r="K3" s="1206"/>
      <c r="L3" s="274"/>
      <c r="M3" s="274"/>
      <c r="N3" s="274"/>
      <c r="O3" s="274"/>
    </row>
    <row r="4" spans="1:15" ht="15">
      <c r="A4" s="1210" t="str">
        <f>+'WS D IPP Credits'!A4:C4</f>
        <v>AEP KENTUCKY TRANSMISSION COMPANY</v>
      </c>
      <c r="B4" s="1210"/>
      <c r="C4" s="1210"/>
      <c r="D4" s="1210"/>
      <c r="E4" s="1210"/>
      <c r="F4" s="1210"/>
      <c r="G4" s="1210"/>
      <c r="H4" s="1210"/>
      <c r="I4" s="1210"/>
      <c r="J4" s="1210"/>
      <c r="K4" s="1210"/>
      <c r="L4" s="12"/>
      <c r="M4" s="12"/>
      <c r="N4" s="12"/>
      <c r="O4" s="12"/>
    </row>
    <row r="5" spans="1:15" ht="15">
      <c r="A5" s="286"/>
      <c r="B5" s="286"/>
      <c r="C5" s="286"/>
      <c r="D5" s="286"/>
      <c r="E5" s="286"/>
      <c r="F5" s="286"/>
      <c r="G5" s="286"/>
      <c r="H5" s="286"/>
      <c r="I5" s="286"/>
      <c r="J5" s="286"/>
      <c r="K5" s="286"/>
      <c r="L5" s="286"/>
      <c r="M5" s="286"/>
      <c r="N5" s="286"/>
      <c r="O5" s="286"/>
    </row>
    <row r="6" spans="1:13" ht="17.25">
      <c r="A6" s="1219"/>
      <c r="B6" s="1219"/>
      <c r="C6" s="1219"/>
      <c r="D6" s="1219"/>
      <c r="E6" s="1219"/>
      <c r="F6" s="1219"/>
      <c r="G6" s="1219"/>
      <c r="H6" s="1219"/>
      <c r="I6" s="1219"/>
      <c r="J6" s="1219"/>
      <c r="K6" s="1219"/>
      <c r="L6" s="213"/>
      <c r="M6" s="560"/>
    </row>
    <row r="7" spans="1:13" ht="17.25">
      <c r="A7" s="513"/>
      <c r="B7" s="513"/>
      <c r="C7" s="513"/>
      <c r="D7" s="513"/>
      <c r="E7" s="513"/>
      <c r="F7" s="513"/>
      <c r="G7" s="513"/>
      <c r="H7" s="513"/>
      <c r="I7" s="513"/>
      <c r="J7" s="513"/>
      <c r="K7" s="513"/>
      <c r="L7" s="213"/>
      <c r="M7" s="560"/>
    </row>
    <row r="8" spans="1:22" ht="15">
      <c r="A8" s="590" t="s">
        <v>608</v>
      </c>
      <c r="B8" s="213"/>
      <c r="C8" s="559"/>
      <c r="D8" s="559"/>
      <c r="E8" s="559"/>
      <c r="F8" s="559"/>
      <c r="G8" s="215"/>
      <c r="H8" s="215"/>
      <c r="I8" s="590" t="s">
        <v>641</v>
      </c>
      <c r="J8" s="590" t="s">
        <v>500</v>
      </c>
      <c r="K8" s="591"/>
      <c r="N8" s="561"/>
      <c r="P8" s="561"/>
      <c r="R8" s="561"/>
      <c r="S8" s="561"/>
      <c r="T8" s="561"/>
      <c r="U8" s="7"/>
      <c r="V8" s="7"/>
    </row>
    <row r="9" spans="1:22" ht="15">
      <c r="A9" s="590" t="s">
        <v>546</v>
      </c>
      <c r="B9" s="1220" t="s">
        <v>606</v>
      </c>
      <c r="C9" s="1220"/>
      <c r="D9" s="1220"/>
      <c r="E9" s="1220"/>
      <c r="F9" s="1220"/>
      <c r="G9" s="1220"/>
      <c r="H9" s="1220"/>
      <c r="I9" s="589" t="s">
        <v>642</v>
      </c>
      <c r="J9" s="589" t="s">
        <v>556</v>
      </c>
      <c r="K9" s="589" t="s">
        <v>556</v>
      </c>
      <c r="N9" s="561"/>
      <c r="O9" s="561"/>
      <c r="P9" s="561"/>
      <c r="Q9" s="561"/>
      <c r="R9" s="561"/>
      <c r="S9" s="561"/>
      <c r="T9" s="562"/>
      <c r="U9" s="7"/>
      <c r="V9" s="7"/>
    </row>
    <row r="10" spans="1:22" ht="15">
      <c r="A10" s="215"/>
      <c r="B10" s="558"/>
      <c r="C10" s="213"/>
      <c r="D10" s="215"/>
      <c r="E10" s="215"/>
      <c r="F10" s="215"/>
      <c r="G10" s="215"/>
      <c r="H10" s="215"/>
      <c r="I10" s="215"/>
      <c r="J10" s="215"/>
      <c r="K10" s="214"/>
      <c r="N10" s="561"/>
      <c r="O10" s="561"/>
      <c r="P10" s="561"/>
      <c r="Q10" s="561"/>
      <c r="R10" s="561"/>
      <c r="S10" s="561"/>
      <c r="T10" s="562"/>
      <c r="U10" s="7"/>
      <c r="V10" s="7"/>
    </row>
    <row r="11" spans="1:22" s="871" customFormat="1" ht="12.75">
      <c r="A11" s="870">
        <v>1</v>
      </c>
      <c r="B11" s="841" t="s">
        <v>308</v>
      </c>
      <c r="D11" s="872"/>
      <c r="E11" s="872"/>
      <c r="F11" s="843"/>
      <c r="G11" s="872"/>
      <c r="H11" s="872"/>
      <c r="I11" s="1102">
        <v>0</v>
      </c>
      <c r="J11" s="863">
        <f>+I11-K11</f>
        <v>0</v>
      </c>
      <c r="K11" s="1103">
        <v>0</v>
      </c>
      <c r="N11" s="102"/>
      <c r="O11" s="102"/>
      <c r="P11" s="102"/>
      <c r="Q11" s="102"/>
      <c r="R11" s="102"/>
      <c r="S11" s="102"/>
      <c r="T11" s="353"/>
      <c r="U11" s="102"/>
      <c r="V11" s="102"/>
    </row>
    <row r="12" spans="1:22" s="871" customFormat="1" ht="12.75">
      <c r="A12" s="870"/>
      <c r="B12" s="841"/>
      <c r="D12" s="872"/>
      <c r="E12" s="872"/>
      <c r="F12" s="843"/>
      <c r="G12" s="872"/>
      <c r="H12" s="872"/>
      <c r="I12" s="864"/>
      <c r="J12" s="865"/>
      <c r="K12" s="865"/>
      <c r="N12" s="102"/>
      <c r="O12" s="102"/>
      <c r="P12" s="102"/>
      <c r="Q12" s="102"/>
      <c r="R12" s="102"/>
      <c r="S12" s="102"/>
      <c r="T12" s="353"/>
      <c r="U12" s="102"/>
      <c r="V12" s="102"/>
    </row>
    <row r="13" spans="1:22" s="871" customFormat="1" ht="12.75">
      <c r="A13" s="870">
        <f>+A11+1</f>
        <v>2</v>
      </c>
      <c r="B13" s="842" t="s">
        <v>309</v>
      </c>
      <c r="D13" s="872"/>
      <c r="E13" s="872"/>
      <c r="F13" s="843"/>
      <c r="G13" s="872"/>
      <c r="H13" s="843"/>
      <c r="I13" s="1102">
        <v>0</v>
      </c>
      <c r="J13" s="863">
        <f>+I13-K13</f>
        <v>0</v>
      </c>
      <c r="K13" s="1103">
        <v>0</v>
      </c>
      <c r="N13" s="102"/>
      <c r="O13" s="102"/>
      <c r="P13" s="102"/>
      <c r="Q13" s="102"/>
      <c r="R13" s="102"/>
      <c r="S13" s="102"/>
      <c r="T13" s="102"/>
      <c r="U13" s="102"/>
      <c r="V13" s="102"/>
    </row>
    <row r="14" spans="1:22" s="871" customFormat="1" ht="12.75">
      <c r="A14" s="870"/>
      <c r="B14" s="842"/>
      <c r="D14" s="872"/>
      <c r="E14" s="872"/>
      <c r="F14" s="843"/>
      <c r="G14" s="872"/>
      <c r="H14" s="843"/>
      <c r="I14" s="865"/>
      <c r="J14" s="865"/>
      <c r="K14" s="866"/>
      <c r="N14" s="102"/>
      <c r="O14" s="102"/>
      <c r="P14" s="102"/>
      <c r="Q14" s="102"/>
      <c r="R14" s="102"/>
      <c r="S14" s="102"/>
      <c r="T14" s="102"/>
      <c r="U14" s="102"/>
      <c r="V14" s="102"/>
    </row>
    <row r="15" spans="1:22" s="871" customFormat="1" ht="12.75">
      <c r="A15" s="870">
        <f>+A13+1</f>
        <v>3</v>
      </c>
      <c r="B15" s="842" t="s">
        <v>310</v>
      </c>
      <c r="D15" s="872"/>
      <c r="E15" s="872"/>
      <c r="F15" s="843"/>
      <c r="G15" s="872"/>
      <c r="H15" s="872"/>
      <c r="I15" s="1102">
        <v>0</v>
      </c>
      <c r="J15" s="863">
        <f>+I15-K15</f>
        <v>0</v>
      </c>
      <c r="K15" s="1103">
        <v>0</v>
      </c>
      <c r="N15" s="102"/>
      <c r="O15" s="102"/>
      <c r="P15" s="102"/>
      <c r="Q15" s="102"/>
      <c r="R15" s="102"/>
      <c r="S15" s="102"/>
      <c r="T15" s="102"/>
      <c r="U15" s="102"/>
      <c r="V15" s="102"/>
    </row>
    <row r="16" spans="1:22" s="871" customFormat="1" ht="12.75">
      <c r="A16" s="870"/>
      <c r="B16" s="843"/>
      <c r="D16" s="872"/>
      <c r="E16" s="872"/>
      <c r="F16" s="843"/>
      <c r="G16" s="866"/>
      <c r="H16" s="843"/>
      <c r="I16" s="865"/>
      <c r="J16" s="865"/>
      <c r="K16" s="865"/>
      <c r="N16" s="102"/>
      <c r="O16" s="102"/>
      <c r="P16" s="102"/>
      <c r="Q16" s="102"/>
      <c r="R16" s="102"/>
      <c r="S16" s="102"/>
      <c r="T16" s="102"/>
      <c r="U16" s="102"/>
      <c r="V16" s="102"/>
    </row>
    <row r="17" spans="1:22" s="871" customFormat="1" ht="12.75">
      <c r="A17" s="870">
        <f>+A15+1</f>
        <v>4</v>
      </c>
      <c r="B17" s="1051" t="s">
        <v>311</v>
      </c>
      <c r="D17" s="872"/>
      <c r="E17" s="872"/>
      <c r="F17" s="843"/>
      <c r="G17" s="866"/>
      <c r="H17" s="843"/>
      <c r="I17" s="1102">
        <v>0</v>
      </c>
      <c r="J17" s="863">
        <f>+I17-K17</f>
        <v>0</v>
      </c>
      <c r="K17" s="1103">
        <v>0</v>
      </c>
      <c r="N17" s="873"/>
      <c r="O17" s="102"/>
      <c r="P17" s="102"/>
      <c r="Q17" s="102"/>
      <c r="R17" s="102"/>
      <c r="S17" s="102"/>
      <c r="T17" s="102"/>
      <c r="U17" s="102"/>
      <c r="V17" s="102"/>
    </row>
    <row r="18" spans="1:22" s="871" customFormat="1" ht="12.75">
      <c r="A18" s="870"/>
      <c r="B18" s="1051"/>
      <c r="D18" s="872"/>
      <c r="E18" s="872"/>
      <c r="F18" s="843"/>
      <c r="G18" s="866"/>
      <c r="H18" s="867"/>
      <c r="I18" s="102"/>
      <c r="J18" s="102"/>
      <c r="K18" s="102"/>
      <c r="L18" s="102"/>
      <c r="N18" s="873"/>
      <c r="O18" s="102"/>
      <c r="P18" s="102"/>
      <c r="Q18" s="102"/>
      <c r="R18" s="102"/>
      <c r="S18" s="102"/>
      <c r="T18" s="102"/>
      <c r="U18" s="102"/>
      <c r="V18" s="102"/>
    </row>
    <row r="19" spans="1:22" s="871" customFormat="1" ht="12.75">
      <c r="A19" s="870">
        <f>+A17+1</f>
        <v>5</v>
      </c>
      <c r="B19" s="1051" t="s">
        <v>312</v>
      </c>
      <c r="D19" s="872"/>
      <c r="E19" s="872"/>
      <c r="F19" s="843"/>
      <c r="G19" s="866"/>
      <c r="H19" s="843"/>
      <c r="I19" s="1102">
        <v>215122</v>
      </c>
      <c r="J19" s="863">
        <f>+I19-K19</f>
        <v>215122</v>
      </c>
      <c r="K19" s="1103">
        <v>0</v>
      </c>
      <c r="N19" s="873"/>
      <c r="O19" s="102"/>
      <c r="P19" s="102"/>
      <c r="Q19" s="102"/>
      <c r="R19" s="102"/>
      <c r="S19" s="102"/>
      <c r="T19" s="102"/>
      <c r="U19" s="102"/>
      <c r="V19" s="102"/>
    </row>
    <row r="20" spans="1:22" s="871" customFormat="1" ht="12.75">
      <c r="A20" s="870"/>
      <c r="B20" s="1051"/>
      <c r="D20" s="872"/>
      <c r="E20" s="872"/>
      <c r="F20" s="843"/>
      <c r="G20" s="866"/>
      <c r="H20" s="843"/>
      <c r="I20" s="102"/>
      <c r="J20" s="102"/>
      <c r="K20" s="102"/>
      <c r="N20" s="102"/>
      <c r="O20" s="102"/>
      <c r="P20" s="102"/>
      <c r="Q20" s="102"/>
      <c r="R20" s="102"/>
      <c r="S20" s="102"/>
      <c r="T20" s="102"/>
      <c r="U20" s="102"/>
      <c r="V20" s="102"/>
    </row>
    <row r="21" spans="1:22" s="871" customFormat="1" ht="12.75">
      <c r="A21" s="870">
        <f>+A19+1</f>
        <v>6</v>
      </c>
      <c r="B21" s="1051" t="s">
        <v>372</v>
      </c>
      <c r="D21" s="872"/>
      <c r="E21" s="872"/>
      <c r="F21" s="843"/>
      <c r="G21" s="866"/>
      <c r="H21" s="843"/>
      <c r="I21" s="1065">
        <f>+I19+I17+I15+I13+I11</f>
        <v>215122</v>
      </c>
      <c r="J21" s="1065">
        <f>+J19+J17+J15+J13+J11</f>
        <v>215122</v>
      </c>
      <c r="K21" s="1065">
        <f>+K19+K17+K15+K13+K11</f>
        <v>0</v>
      </c>
      <c r="N21" s="102"/>
      <c r="O21" s="102"/>
      <c r="P21" s="102"/>
      <c r="Q21" s="102"/>
      <c r="R21" s="102"/>
      <c r="S21" s="102"/>
      <c r="T21" s="102"/>
      <c r="U21" s="102"/>
      <c r="V21" s="102"/>
    </row>
    <row r="22" spans="1:22" s="871" customFormat="1" ht="12.75">
      <c r="A22" s="870"/>
      <c r="B22" s="1051"/>
      <c r="D22" s="872"/>
      <c r="E22" s="872"/>
      <c r="F22" s="843"/>
      <c r="G22" s="866"/>
      <c r="H22" s="843"/>
      <c r="I22" s="102"/>
      <c r="J22" s="102"/>
      <c r="K22" s="102"/>
      <c r="N22" s="102"/>
      <c r="O22" s="102"/>
      <c r="P22" s="102"/>
      <c r="Q22" s="102"/>
      <c r="R22" s="102"/>
      <c r="S22" s="102"/>
      <c r="T22" s="102"/>
      <c r="U22" s="102"/>
      <c r="V22" s="102"/>
    </row>
    <row r="23" spans="1:22" s="871" customFormat="1" ht="12.75">
      <c r="A23" s="870">
        <f>+A21+1</f>
        <v>7</v>
      </c>
      <c r="B23" s="1216" t="s">
        <v>313</v>
      </c>
      <c r="C23" s="1184"/>
      <c r="D23" s="1184"/>
      <c r="E23" s="1184"/>
      <c r="F23" s="1184"/>
      <c r="G23" s="1184"/>
      <c r="H23" s="865"/>
      <c r="I23" s="1102">
        <v>0</v>
      </c>
      <c r="J23" s="863">
        <f>+I23-K23</f>
        <v>0</v>
      </c>
      <c r="K23" s="1103">
        <v>0</v>
      </c>
      <c r="N23" s="102"/>
      <c r="O23" s="102"/>
      <c r="P23" s="102"/>
      <c r="Q23" s="102"/>
      <c r="R23" s="102"/>
      <c r="S23" s="102"/>
      <c r="T23" s="102"/>
      <c r="U23" s="102"/>
      <c r="V23" s="102"/>
    </row>
    <row r="24" spans="1:22" s="871" customFormat="1" ht="12.75">
      <c r="A24" s="870"/>
      <c r="B24" s="1184"/>
      <c r="C24" s="1184"/>
      <c r="D24" s="1184"/>
      <c r="E24" s="1184"/>
      <c r="F24" s="1184"/>
      <c r="G24" s="1184"/>
      <c r="H24" s="843"/>
      <c r="I24" s="867"/>
      <c r="J24" s="843"/>
      <c r="K24" s="868"/>
      <c r="N24" s="102"/>
      <c r="O24" s="102"/>
      <c r="P24" s="102"/>
      <c r="Q24" s="102"/>
      <c r="R24" s="102"/>
      <c r="S24" s="102"/>
      <c r="T24" s="102"/>
      <c r="U24" s="102"/>
      <c r="V24" s="102"/>
    </row>
    <row r="25" spans="1:22" s="871" customFormat="1" ht="12.75">
      <c r="A25" s="870">
        <f>+A23+1</f>
        <v>8</v>
      </c>
      <c r="B25" s="1052" t="s">
        <v>690</v>
      </c>
      <c r="D25" s="872"/>
      <c r="E25" s="872"/>
      <c r="F25" s="843"/>
      <c r="G25" s="866"/>
      <c r="H25" s="843"/>
      <c r="I25" s="869">
        <f>+I21+I23</f>
        <v>215122</v>
      </c>
      <c r="J25" s="869">
        <f>+J21+J23</f>
        <v>215122</v>
      </c>
      <c r="K25" s="869">
        <f>+K21+K23</f>
        <v>0</v>
      </c>
      <c r="N25" s="102"/>
      <c r="O25" s="102"/>
      <c r="P25" s="102"/>
      <c r="Q25" s="102"/>
      <c r="R25" s="102"/>
      <c r="S25" s="102"/>
      <c r="T25" s="102"/>
      <c r="U25" s="102"/>
      <c r="V25" s="102"/>
    </row>
    <row r="26" spans="1:22" ht="15">
      <c r="A26" s="844"/>
      <c r="C26" s="558"/>
      <c r="D26" s="213"/>
      <c r="E26" s="213"/>
      <c r="F26" s="215"/>
      <c r="G26" s="216"/>
      <c r="H26" s="215"/>
      <c r="I26" s="581"/>
      <c r="J26" s="215"/>
      <c r="K26" s="215"/>
      <c r="L26" s="215"/>
      <c r="M26" s="217"/>
      <c r="N26" s="7"/>
      <c r="O26" s="559"/>
      <c r="P26" s="559"/>
      <c r="Q26" s="559"/>
      <c r="R26" s="559"/>
      <c r="S26" s="7"/>
      <c r="T26" s="7"/>
      <c r="U26" s="7"/>
      <c r="V26" s="7"/>
    </row>
    <row r="27" spans="1:22" s="871" customFormat="1" ht="12.75">
      <c r="A27" s="102" t="s">
        <v>287</v>
      </c>
      <c r="B27" s="1217"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AEP KENTUCKY TRANSMISSION COMPANY's general ledger. The functional amounts identified as transmission revenue also come from the general ledger. </v>
      </c>
      <c r="C27" s="1218"/>
      <c r="D27" s="1218"/>
      <c r="E27" s="1218"/>
      <c r="F27" s="1218"/>
      <c r="G27" s="1218"/>
      <c r="H27" s="1218"/>
      <c r="I27" s="1218"/>
      <c r="J27" s="1218"/>
      <c r="K27" s="102"/>
      <c r="L27" s="102"/>
      <c r="M27" s="102"/>
      <c r="N27" s="102"/>
      <c r="O27" s="102"/>
      <c r="P27" s="102"/>
      <c r="Q27" s="102"/>
      <c r="R27" s="102"/>
      <c r="S27" s="102"/>
      <c r="T27" s="353"/>
      <c r="U27" s="102"/>
      <c r="V27" s="102"/>
    </row>
    <row r="28" spans="1:41" s="871" customFormat="1" ht="12.75">
      <c r="A28" s="102"/>
      <c r="B28" s="1218"/>
      <c r="C28" s="1218"/>
      <c r="D28" s="1218"/>
      <c r="E28" s="1218"/>
      <c r="F28" s="1218"/>
      <c r="G28" s="1218"/>
      <c r="H28" s="1218"/>
      <c r="I28" s="1218"/>
      <c r="J28" s="1218"/>
      <c r="K28" s="102"/>
      <c r="L28" s="101"/>
      <c r="M28" s="103"/>
      <c r="N28" s="103"/>
      <c r="O28" s="103"/>
      <c r="P28" s="103"/>
      <c r="Q28" s="103"/>
      <c r="R28" s="101"/>
      <c r="S28" s="101"/>
      <c r="T28" s="101"/>
      <c r="U28" s="101"/>
      <c r="V28" s="101"/>
      <c r="W28" s="874"/>
      <c r="X28" s="874"/>
      <c r="Y28" s="874"/>
      <c r="Z28" s="874"/>
      <c r="AA28" s="874"/>
      <c r="AB28" s="874"/>
      <c r="AC28" s="874"/>
      <c r="AD28" s="874"/>
      <c r="AE28" s="874"/>
      <c r="AF28" s="874"/>
      <c r="AG28" s="874"/>
      <c r="AH28" s="874"/>
      <c r="AI28" s="874"/>
      <c r="AJ28" s="874"/>
      <c r="AK28" s="874"/>
      <c r="AL28" s="874"/>
      <c r="AM28" s="874"/>
      <c r="AN28" s="874"/>
      <c r="AO28" s="874"/>
    </row>
    <row r="29" spans="1:41" s="871" customFormat="1" ht="12.75">
      <c r="A29" s="102"/>
      <c r="B29" s="1218"/>
      <c r="C29" s="1218"/>
      <c r="D29" s="1218"/>
      <c r="E29" s="1218"/>
      <c r="F29" s="1218"/>
      <c r="G29" s="1218"/>
      <c r="H29" s="1218"/>
      <c r="I29" s="1218"/>
      <c r="J29" s="1218"/>
      <c r="K29" s="103"/>
      <c r="L29" s="101"/>
      <c r="M29" s="103"/>
      <c r="N29" s="103"/>
      <c r="O29" s="103"/>
      <c r="P29" s="103"/>
      <c r="Q29" s="103"/>
      <c r="R29" s="101"/>
      <c r="S29" s="101"/>
      <c r="T29" s="101"/>
      <c r="U29" s="101"/>
      <c r="V29" s="101"/>
      <c r="W29" s="874"/>
      <c r="X29" s="874"/>
      <c r="Y29" s="874"/>
      <c r="Z29" s="874"/>
      <c r="AA29" s="874"/>
      <c r="AB29" s="874"/>
      <c r="AC29" s="874"/>
      <c r="AD29" s="874"/>
      <c r="AE29" s="874"/>
      <c r="AF29" s="874"/>
      <c r="AG29" s="874"/>
      <c r="AH29" s="874"/>
      <c r="AI29" s="874"/>
      <c r="AJ29" s="874"/>
      <c r="AK29" s="874"/>
      <c r="AL29" s="874"/>
      <c r="AM29" s="874"/>
      <c r="AN29" s="874"/>
      <c r="AO29" s="874"/>
    </row>
    <row r="30" spans="1:41" ht="15">
      <c r="A30" s="7"/>
      <c r="B30" s="139"/>
      <c r="E30" s="163"/>
      <c r="F30" s="163"/>
      <c r="G30" s="163"/>
      <c r="H30" s="163"/>
      <c r="I30" s="163"/>
      <c r="J30" s="163"/>
      <c r="K30" s="163"/>
      <c r="L30" s="139"/>
      <c r="M30" s="163"/>
      <c r="N30" s="163"/>
      <c r="O30" s="163"/>
      <c r="P30" s="163"/>
      <c r="Q30" s="163"/>
      <c r="R30" s="139"/>
      <c r="S30" s="139"/>
      <c r="T30" s="139"/>
      <c r="U30" s="139"/>
      <c r="V30" s="139"/>
      <c r="W30" s="563"/>
      <c r="X30" s="563"/>
      <c r="Y30" s="563"/>
      <c r="Z30" s="563"/>
      <c r="AA30" s="563"/>
      <c r="AB30" s="563"/>
      <c r="AC30" s="563"/>
      <c r="AD30" s="563"/>
      <c r="AE30" s="563"/>
      <c r="AF30" s="563"/>
      <c r="AG30" s="563"/>
      <c r="AH30" s="563"/>
      <c r="AI30" s="563"/>
      <c r="AJ30" s="563"/>
      <c r="AK30" s="563"/>
      <c r="AL30" s="563"/>
      <c r="AM30" s="563"/>
      <c r="AN30" s="563"/>
      <c r="AO30" s="563"/>
    </row>
    <row r="31" spans="1:41" ht="15">
      <c r="A31" s="7"/>
      <c r="B31" s="139"/>
      <c r="E31" s="163"/>
      <c r="F31" s="163"/>
      <c r="G31" s="163"/>
      <c r="H31" s="163"/>
      <c r="I31" s="163"/>
      <c r="J31" s="163"/>
      <c r="K31" s="163"/>
      <c r="L31" s="139"/>
      <c r="M31" s="163"/>
      <c r="N31" s="163"/>
      <c r="O31" s="163"/>
      <c r="P31" s="163"/>
      <c r="Q31" s="163"/>
      <c r="R31" s="139"/>
      <c r="S31" s="139"/>
      <c r="T31" s="139"/>
      <c r="U31" s="139"/>
      <c r="V31" s="139"/>
      <c r="W31" s="563"/>
      <c r="X31" s="563"/>
      <c r="Y31" s="563"/>
      <c r="Z31" s="563"/>
      <c r="AA31" s="563"/>
      <c r="AB31" s="563"/>
      <c r="AC31" s="563"/>
      <c r="AD31" s="563"/>
      <c r="AE31" s="563"/>
      <c r="AF31" s="563"/>
      <c r="AG31" s="563"/>
      <c r="AH31" s="563"/>
      <c r="AI31" s="563"/>
      <c r="AJ31" s="563"/>
      <c r="AK31" s="563"/>
      <c r="AL31" s="563"/>
      <c r="AM31" s="563"/>
      <c r="AN31" s="563"/>
      <c r="AO31" s="563"/>
    </row>
    <row r="32" spans="1:41" ht="15">
      <c r="A32" s="7"/>
      <c r="B32" s="139"/>
      <c r="E32" s="163"/>
      <c r="F32" s="163"/>
      <c r="G32" s="163"/>
      <c r="H32" s="163"/>
      <c r="I32" s="163"/>
      <c r="J32" s="163"/>
      <c r="K32" s="163"/>
      <c r="L32" s="139"/>
      <c r="M32" s="163"/>
      <c r="N32" s="163"/>
      <c r="O32" s="163"/>
      <c r="P32" s="163"/>
      <c r="Q32" s="163"/>
      <c r="R32" s="139"/>
      <c r="S32" s="139"/>
      <c r="T32" s="139"/>
      <c r="U32" s="139"/>
      <c r="V32" s="139"/>
      <c r="W32" s="563"/>
      <c r="X32" s="563"/>
      <c r="Y32" s="563"/>
      <c r="Z32" s="563"/>
      <c r="AA32" s="563"/>
      <c r="AB32" s="563"/>
      <c r="AC32" s="563"/>
      <c r="AD32" s="563"/>
      <c r="AE32" s="563"/>
      <c r="AF32" s="563"/>
      <c r="AG32" s="563"/>
      <c r="AH32" s="563"/>
      <c r="AI32" s="563"/>
      <c r="AJ32" s="563"/>
      <c r="AK32" s="563"/>
      <c r="AL32" s="563"/>
      <c r="AM32" s="563"/>
      <c r="AN32" s="563"/>
      <c r="AO32" s="563"/>
    </row>
    <row r="33" spans="1:41" ht="15">
      <c r="A33" s="7"/>
      <c r="B33" s="139"/>
      <c r="E33" s="163"/>
      <c r="F33" s="163"/>
      <c r="G33" s="163"/>
      <c r="H33" s="163"/>
      <c r="I33" s="163"/>
      <c r="J33" s="163"/>
      <c r="K33" s="163"/>
      <c r="L33" s="139"/>
      <c r="M33" s="163"/>
      <c r="N33" s="163"/>
      <c r="O33" s="163"/>
      <c r="P33" s="163"/>
      <c r="Q33" s="163"/>
      <c r="R33" s="139"/>
      <c r="S33" s="139"/>
      <c r="T33" s="139"/>
      <c r="U33" s="139"/>
      <c r="V33" s="139"/>
      <c r="W33" s="563"/>
      <c r="X33" s="563"/>
      <c r="Y33" s="563"/>
      <c r="Z33" s="563"/>
      <c r="AA33" s="563"/>
      <c r="AB33" s="563"/>
      <c r="AC33" s="563"/>
      <c r="AD33" s="563"/>
      <c r="AE33" s="563"/>
      <c r="AF33" s="563"/>
      <c r="AG33" s="563"/>
      <c r="AH33" s="563"/>
      <c r="AI33" s="563"/>
      <c r="AJ33" s="563"/>
      <c r="AK33" s="563"/>
      <c r="AL33" s="563"/>
      <c r="AM33" s="563"/>
      <c r="AN33" s="563"/>
      <c r="AO33" s="563"/>
    </row>
    <row r="34" spans="1:41" ht="15">
      <c r="A34" s="7"/>
      <c r="B34" s="139"/>
      <c r="E34" s="163"/>
      <c r="F34" s="163"/>
      <c r="G34" s="163"/>
      <c r="H34" s="163"/>
      <c r="I34" s="163"/>
      <c r="J34" s="163"/>
      <c r="K34" s="163"/>
      <c r="L34" s="139"/>
      <c r="M34" s="163"/>
      <c r="N34" s="163"/>
      <c r="O34" s="163"/>
      <c r="P34" s="163"/>
      <c r="Q34" s="163"/>
      <c r="R34" s="139"/>
      <c r="S34" s="139"/>
      <c r="T34" s="139"/>
      <c r="U34" s="139"/>
      <c r="V34" s="139"/>
      <c r="W34" s="563"/>
      <c r="X34" s="563"/>
      <c r="Y34" s="563"/>
      <c r="Z34" s="563"/>
      <c r="AA34" s="563"/>
      <c r="AB34" s="563"/>
      <c r="AC34" s="563"/>
      <c r="AD34" s="563"/>
      <c r="AE34" s="563"/>
      <c r="AF34" s="563"/>
      <c r="AG34" s="563"/>
      <c r="AH34" s="563"/>
      <c r="AI34" s="563"/>
      <c r="AJ34" s="563"/>
      <c r="AK34" s="563"/>
      <c r="AL34" s="563"/>
      <c r="AM34" s="563"/>
      <c r="AN34" s="563"/>
      <c r="AO34" s="563"/>
    </row>
    <row r="35" spans="1:41" ht="15">
      <c r="A35" s="7"/>
      <c r="B35" s="139"/>
      <c r="E35" s="163"/>
      <c r="F35" s="163"/>
      <c r="G35" s="163"/>
      <c r="H35" s="163"/>
      <c r="I35" s="163"/>
      <c r="J35" s="163"/>
      <c r="K35" s="163"/>
      <c r="L35" s="139"/>
      <c r="M35" s="163"/>
      <c r="N35" s="163"/>
      <c r="O35" s="163"/>
      <c r="P35" s="163"/>
      <c r="Q35" s="163"/>
      <c r="R35" s="139"/>
      <c r="S35" s="139"/>
      <c r="T35" s="139"/>
      <c r="U35" s="139"/>
      <c r="V35" s="139"/>
      <c r="W35" s="563"/>
      <c r="X35" s="563"/>
      <c r="Y35" s="563"/>
      <c r="Z35" s="563"/>
      <c r="AA35" s="563"/>
      <c r="AB35" s="563"/>
      <c r="AC35" s="563"/>
      <c r="AD35" s="563"/>
      <c r="AE35" s="563"/>
      <c r="AF35" s="563"/>
      <c r="AG35" s="563"/>
      <c r="AH35" s="563"/>
      <c r="AI35" s="563"/>
      <c r="AJ35" s="563"/>
      <c r="AK35" s="563"/>
      <c r="AL35" s="563"/>
      <c r="AM35" s="563"/>
      <c r="AN35" s="563"/>
      <c r="AO35" s="563"/>
    </row>
    <row r="36" spans="1:41" ht="15">
      <c r="A36" s="7"/>
      <c r="B36" s="139"/>
      <c r="E36" s="163"/>
      <c r="F36" s="163"/>
      <c r="G36" s="163"/>
      <c r="H36" s="163"/>
      <c r="I36" s="163"/>
      <c r="J36" s="163"/>
      <c r="K36" s="163"/>
      <c r="L36" s="139"/>
      <c r="M36" s="163"/>
      <c r="N36" s="163"/>
      <c r="O36" s="163"/>
      <c r="P36" s="163"/>
      <c r="Q36" s="163"/>
      <c r="R36" s="139"/>
      <c r="S36" s="139"/>
      <c r="T36" s="139"/>
      <c r="U36" s="139"/>
      <c r="V36" s="139"/>
      <c r="W36" s="563"/>
      <c r="X36" s="563"/>
      <c r="Y36" s="563"/>
      <c r="Z36" s="563"/>
      <c r="AA36" s="563"/>
      <c r="AB36" s="563"/>
      <c r="AC36" s="563"/>
      <c r="AD36" s="563"/>
      <c r="AE36" s="563"/>
      <c r="AF36" s="563"/>
      <c r="AG36" s="563"/>
      <c r="AH36" s="563"/>
      <c r="AI36" s="563"/>
      <c r="AJ36" s="563"/>
      <c r="AK36" s="563"/>
      <c r="AL36" s="563"/>
      <c r="AM36" s="563"/>
      <c r="AN36" s="563"/>
      <c r="AO36" s="563"/>
    </row>
    <row r="37" spans="1:41" ht="15">
      <c r="A37" s="7"/>
      <c r="B37" s="139"/>
      <c r="E37" s="163"/>
      <c r="F37" s="163"/>
      <c r="G37" s="163"/>
      <c r="H37" s="163"/>
      <c r="I37" s="163"/>
      <c r="J37" s="163"/>
      <c r="K37" s="163"/>
      <c r="L37" s="139"/>
      <c r="M37" s="163"/>
      <c r="N37" s="163"/>
      <c r="O37" s="163"/>
      <c r="P37" s="163"/>
      <c r="Q37" s="163"/>
      <c r="R37" s="139"/>
      <c r="S37" s="139"/>
      <c r="T37" s="139"/>
      <c r="U37" s="139"/>
      <c r="V37" s="139"/>
      <c r="W37" s="563"/>
      <c r="X37" s="563"/>
      <c r="Y37" s="563"/>
      <c r="Z37" s="563"/>
      <c r="AA37" s="563"/>
      <c r="AB37" s="563"/>
      <c r="AC37" s="563"/>
      <c r="AD37" s="563"/>
      <c r="AE37" s="563"/>
      <c r="AF37" s="563"/>
      <c r="AG37" s="563"/>
      <c r="AH37" s="563"/>
      <c r="AI37" s="563"/>
      <c r="AJ37" s="563"/>
      <c r="AK37" s="563"/>
      <c r="AL37" s="563"/>
      <c r="AM37" s="563"/>
      <c r="AN37" s="563"/>
      <c r="AO37" s="563"/>
    </row>
    <row r="38" spans="1:41" ht="15">
      <c r="A38" s="7"/>
      <c r="B38" s="139"/>
      <c r="E38" s="163"/>
      <c r="F38" s="163"/>
      <c r="G38" s="163"/>
      <c r="H38" s="163"/>
      <c r="I38" s="163"/>
      <c r="J38" s="163"/>
      <c r="K38" s="163"/>
      <c r="L38" s="139"/>
      <c r="M38" s="163"/>
      <c r="N38" s="163"/>
      <c r="O38" s="163"/>
      <c r="P38" s="163"/>
      <c r="Q38" s="163"/>
      <c r="R38" s="139"/>
      <c r="S38" s="139"/>
      <c r="T38" s="139"/>
      <c r="U38" s="139"/>
      <c r="V38" s="139"/>
      <c r="W38" s="563"/>
      <c r="X38" s="563"/>
      <c r="Y38" s="563"/>
      <c r="Z38" s="563"/>
      <c r="AA38" s="563"/>
      <c r="AB38" s="563"/>
      <c r="AC38" s="563"/>
      <c r="AD38" s="563"/>
      <c r="AE38" s="563"/>
      <c r="AF38" s="563"/>
      <c r="AG38" s="563"/>
      <c r="AH38" s="563"/>
      <c r="AI38" s="563"/>
      <c r="AJ38" s="563"/>
      <c r="AK38" s="563"/>
      <c r="AL38" s="563"/>
      <c r="AM38" s="563"/>
      <c r="AN38" s="563"/>
      <c r="AO38" s="563"/>
    </row>
    <row r="39" spans="1:41" ht="15">
      <c r="A39" s="7"/>
      <c r="B39" s="139"/>
      <c r="E39" s="163"/>
      <c r="F39" s="163"/>
      <c r="G39" s="163"/>
      <c r="H39" s="163"/>
      <c r="I39" s="163"/>
      <c r="J39" s="163"/>
      <c r="K39" s="163"/>
      <c r="L39" s="139"/>
      <c r="M39" s="163"/>
      <c r="N39" s="163"/>
      <c r="O39" s="163"/>
      <c r="P39" s="163"/>
      <c r="Q39" s="163"/>
      <c r="R39" s="139"/>
      <c r="S39" s="139"/>
      <c r="T39" s="139"/>
      <c r="U39" s="139"/>
      <c r="V39" s="139"/>
      <c r="W39" s="563"/>
      <c r="X39" s="563"/>
      <c r="Y39" s="563"/>
      <c r="Z39" s="563"/>
      <c r="AA39" s="563"/>
      <c r="AB39" s="563"/>
      <c r="AC39" s="563"/>
      <c r="AD39" s="563"/>
      <c r="AE39" s="563"/>
      <c r="AF39" s="563"/>
      <c r="AG39" s="563"/>
      <c r="AH39" s="563"/>
      <c r="AI39" s="563"/>
      <c r="AJ39" s="563"/>
      <c r="AK39" s="563"/>
      <c r="AL39" s="563"/>
      <c r="AM39" s="563"/>
      <c r="AN39" s="563"/>
      <c r="AO39" s="563"/>
    </row>
    <row r="40" spans="9:41" ht="15">
      <c r="I40" s="163"/>
      <c r="J40" s="163"/>
      <c r="K40" s="163"/>
      <c r="L40" s="139"/>
      <c r="M40" s="163"/>
      <c r="N40" s="163"/>
      <c r="O40" s="163"/>
      <c r="P40" s="163"/>
      <c r="Q40" s="163"/>
      <c r="R40" s="139"/>
      <c r="S40" s="139"/>
      <c r="T40" s="139"/>
      <c r="U40" s="139"/>
      <c r="V40" s="139"/>
      <c r="W40" s="563"/>
      <c r="X40" s="563"/>
      <c r="Y40" s="563"/>
      <c r="Z40" s="563"/>
      <c r="AA40" s="563"/>
      <c r="AB40" s="563"/>
      <c r="AC40" s="563"/>
      <c r="AD40" s="563"/>
      <c r="AE40" s="563"/>
      <c r="AF40" s="563"/>
      <c r="AG40" s="563"/>
      <c r="AH40" s="563"/>
      <c r="AI40" s="563"/>
      <c r="AJ40" s="563"/>
      <c r="AK40" s="563"/>
      <c r="AL40" s="563"/>
      <c r="AM40" s="563"/>
      <c r="AN40" s="563"/>
      <c r="AO40" s="563"/>
    </row>
    <row r="41" spans="1:41" ht="15">
      <c r="A41" s="7"/>
      <c r="B41" s="139"/>
      <c r="E41" s="163"/>
      <c r="F41" s="163"/>
      <c r="G41" s="163"/>
      <c r="H41" s="163"/>
      <c r="I41" s="163"/>
      <c r="J41" s="163"/>
      <c r="K41" s="163"/>
      <c r="L41" s="139"/>
      <c r="M41" s="163"/>
      <c r="N41" s="163"/>
      <c r="O41" s="163"/>
      <c r="P41" s="163"/>
      <c r="Q41" s="163"/>
      <c r="R41" s="139"/>
      <c r="S41" s="139"/>
      <c r="T41" s="139"/>
      <c r="U41" s="139"/>
      <c r="V41" s="139"/>
      <c r="W41" s="563"/>
      <c r="X41" s="563"/>
      <c r="Y41" s="563"/>
      <c r="Z41" s="563"/>
      <c r="AA41" s="563"/>
      <c r="AB41" s="563"/>
      <c r="AC41" s="563"/>
      <c r="AD41" s="563"/>
      <c r="AE41" s="563"/>
      <c r="AF41" s="563"/>
      <c r="AG41" s="563"/>
      <c r="AH41" s="563"/>
      <c r="AI41" s="563"/>
      <c r="AJ41" s="563"/>
      <c r="AK41" s="563"/>
      <c r="AL41" s="563"/>
      <c r="AM41" s="563"/>
      <c r="AN41" s="563"/>
      <c r="AO41" s="563"/>
    </row>
    <row r="42" spans="1:41" ht="15">
      <c r="A42" s="7"/>
      <c r="B42" s="139"/>
      <c r="E42" s="163"/>
      <c r="F42" s="163"/>
      <c r="G42" s="163"/>
      <c r="H42" s="163"/>
      <c r="I42" s="163"/>
      <c r="J42" s="163"/>
      <c r="K42" s="163"/>
      <c r="L42" s="139"/>
      <c r="M42" s="163"/>
      <c r="N42" s="163"/>
      <c r="O42" s="163"/>
      <c r="P42" s="163"/>
      <c r="Q42" s="163"/>
      <c r="R42" s="139"/>
      <c r="S42" s="139"/>
      <c r="T42" s="139"/>
      <c r="U42" s="139"/>
      <c r="V42" s="139"/>
      <c r="W42" s="563"/>
      <c r="X42" s="563"/>
      <c r="Y42" s="563"/>
      <c r="Z42" s="563"/>
      <c r="AA42" s="563"/>
      <c r="AB42" s="563"/>
      <c r="AC42" s="563"/>
      <c r="AD42" s="563"/>
      <c r="AE42" s="563"/>
      <c r="AF42" s="563"/>
      <c r="AG42" s="563"/>
      <c r="AH42" s="563"/>
      <c r="AI42" s="563"/>
      <c r="AJ42" s="563"/>
      <c r="AK42" s="563"/>
      <c r="AL42" s="563"/>
      <c r="AM42" s="563"/>
      <c r="AN42" s="563"/>
      <c r="AO42" s="563"/>
    </row>
    <row r="43" spans="1:41" ht="15">
      <c r="A43" s="7"/>
      <c r="B43" s="139"/>
      <c r="E43" s="163"/>
      <c r="F43" s="163"/>
      <c r="G43" s="163"/>
      <c r="H43" s="163"/>
      <c r="I43" s="163"/>
      <c r="J43" s="163"/>
      <c r="K43" s="163"/>
      <c r="L43" s="139"/>
      <c r="M43" s="163"/>
      <c r="N43" s="163"/>
      <c r="O43" s="163"/>
      <c r="P43" s="163"/>
      <c r="Q43" s="163"/>
      <c r="R43" s="139"/>
      <c r="S43" s="139"/>
      <c r="T43" s="139"/>
      <c r="U43" s="139"/>
      <c r="V43" s="139"/>
      <c r="W43" s="563"/>
      <c r="X43" s="563"/>
      <c r="Y43" s="563"/>
      <c r="Z43" s="563"/>
      <c r="AA43" s="563"/>
      <c r="AB43" s="563"/>
      <c r="AC43" s="563"/>
      <c r="AD43" s="563"/>
      <c r="AE43" s="563"/>
      <c r="AF43" s="563"/>
      <c r="AG43" s="563"/>
      <c r="AH43" s="563"/>
      <c r="AI43" s="563"/>
      <c r="AJ43" s="563"/>
      <c r="AK43" s="563"/>
      <c r="AL43" s="563"/>
      <c r="AM43" s="563"/>
      <c r="AN43" s="563"/>
      <c r="AO43" s="563"/>
    </row>
    <row r="44" spans="1:41" ht="15">
      <c r="A44" s="7"/>
      <c r="B44" s="139"/>
      <c r="E44" s="163"/>
      <c r="F44" s="163"/>
      <c r="G44" s="163"/>
      <c r="H44" s="163"/>
      <c r="I44" s="163"/>
      <c r="J44" s="163"/>
      <c r="K44" s="163"/>
      <c r="L44" s="139"/>
      <c r="M44" s="163"/>
      <c r="N44" s="163"/>
      <c r="O44" s="163"/>
      <c r="P44" s="163"/>
      <c r="Q44" s="163"/>
      <c r="R44" s="139"/>
      <c r="S44" s="139"/>
      <c r="T44" s="139"/>
      <c r="U44" s="139"/>
      <c r="V44" s="139"/>
      <c r="W44" s="563"/>
      <c r="X44" s="563"/>
      <c r="Y44" s="563"/>
      <c r="Z44" s="563"/>
      <c r="AA44" s="563"/>
      <c r="AB44" s="563"/>
      <c r="AC44" s="563"/>
      <c r="AD44" s="563"/>
      <c r="AE44" s="563"/>
      <c r="AF44" s="563"/>
      <c r="AG44" s="563"/>
      <c r="AH44" s="563"/>
      <c r="AI44" s="563"/>
      <c r="AJ44" s="563"/>
      <c r="AK44" s="563"/>
      <c r="AL44" s="563"/>
      <c r="AM44" s="563"/>
      <c r="AN44" s="563"/>
      <c r="AO44" s="563"/>
    </row>
    <row r="45" spans="1:41" ht="15">
      <c r="A45" s="7"/>
      <c r="B45" s="139"/>
      <c r="E45" s="163"/>
      <c r="F45" s="163"/>
      <c r="G45" s="163"/>
      <c r="H45" s="163"/>
      <c r="I45" s="163"/>
      <c r="J45" s="163"/>
      <c r="K45" s="163"/>
      <c r="L45" s="139"/>
      <c r="M45" s="163"/>
      <c r="N45" s="163"/>
      <c r="O45" s="163"/>
      <c r="P45" s="163"/>
      <c r="Q45" s="163"/>
      <c r="R45" s="139"/>
      <c r="S45" s="139"/>
      <c r="T45" s="139"/>
      <c r="U45" s="139"/>
      <c r="V45" s="139"/>
      <c r="W45" s="563"/>
      <c r="X45" s="563"/>
      <c r="Y45" s="563"/>
      <c r="Z45" s="563"/>
      <c r="AA45" s="563"/>
      <c r="AB45" s="563"/>
      <c r="AC45" s="563"/>
      <c r="AD45" s="563"/>
      <c r="AE45" s="563"/>
      <c r="AF45" s="563"/>
      <c r="AG45" s="563"/>
      <c r="AH45" s="563"/>
      <c r="AI45" s="563"/>
      <c r="AJ45" s="563"/>
      <c r="AK45" s="563"/>
      <c r="AL45" s="563"/>
      <c r="AM45" s="563"/>
      <c r="AN45" s="563"/>
      <c r="AO45" s="563"/>
    </row>
    <row r="46" spans="1:41" ht="15">
      <c r="A46" s="7"/>
      <c r="B46" s="139"/>
      <c r="E46" s="163"/>
      <c r="F46" s="163"/>
      <c r="G46" s="163"/>
      <c r="H46" s="163"/>
      <c r="I46" s="163"/>
      <c r="J46" s="163"/>
      <c r="K46" s="163"/>
      <c r="L46" s="139"/>
      <c r="M46" s="163"/>
      <c r="N46" s="163"/>
      <c r="O46" s="163"/>
      <c r="P46" s="163"/>
      <c r="Q46" s="163"/>
      <c r="R46" s="139"/>
      <c r="S46" s="139"/>
      <c r="T46" s="139"/>
      <c r="U46" s="139"/>
      <c r="V46" s="139"/>
      <c r="W46" s="563"/>
      <c r="X46" s="563"/>
      <c r="Y46" s="563"/>
      <c r="Z46" s="563"/>
      <c r="AA46" s="563"/>
      <c r="AB46" s="563"/>
      <c r="AC46" s="563"/>
      <c r="AD46" s="563"/>
      <c r="AE46" s="563"/>
      <c r="AF46" s="563"/>
      <c r="AG46" s="563"/>
      <c r="AH46" s="563"/>
      <c r="AI46" s="563"/>
      <c r="AJ46" s="563"/>
      <c r="AK46" s="563"/>
      <c r="AL46" s="563"/>
      <c r="AM46" s="563"/>
      <c r="AN46" s="563"/>
      <c r="AO46" s="563"/>
    </row>
    <row r="47" spans="1:41" ht="15">
      <c r="A47" s="7"/>
      <c r="B47" s="139"/>
      <c r="E47" s="163"/>
      <c r="F47" s="163"/>
      <c r="G47" s="163"/>
      <c r="H47" s="163"/>
      <c r="I47" s="163"/>
      <c r="J47" s="163"/>
      <c r="K47" s="163"/>
      <c r="L47" s="139"/>
      <c r="M47" s="163"/>
      <c r="N47" s="163"/>
      <c r="O47" s="163"/>
      <c r="P47" s="163"/>
      <c r="Q47" s="163"/>
      <c r="R47" s="139"/>
      <c r="S47" s="139"/>
      <c r="T47" s="139"/>
      <c r="U47" s="139"/>
      <c r="V47" s="139"/>
      <c r="W47" s="563"/>
      <c r="X47" s="563"/>
      <c r="Y47" s="563"/>
      <c r="Z47" s="563"/>
      <c r="AA47" s="563"/>
      <c r="AB47" s="563"/>
      <c r="AC47" s="563"/>
      <c r="AD47" s="563"/>
      <c r="AE47" s="563"/>
      <c r="AF47" s="563"/>
      <c r="AG47" s="563"/>
      <c r="AH47" s="563"/>
      <c r="AI47" s="563"/>
      <c r="AJ47" s="563"/>
      <c r="AK47" s="563"/>
      <c r="AL47" s="563"/>
      <c r="AM47" s="563"/>
      <c r="AN47" s="563"/>
      <c r="AO47" s="563"/>
    </row>
    <row r="48" spans="1:41" ht="15">
      <c r="A48" s="7"/>
      <c r="B48" s="139"/>
      <c r="E48" s="163"/>
      <c r="F48" s="163"/>
      <c r="G48" s="163"/>
      <c r="H48" s="163"/>
      <c r="I48" s="163"/>
      <c r="J48" s="163"/>
      <c r="K48" s="163"/>
      <c r="L48" s="139"/>
      <c r="M48" s="163"/>
      <c r="N48" s="163"/>
      <c r="O48" s="163"/>
      <c r="P48" s="163"/>
      <c r="Q48" s="163"/>
      <c r="R48" s="139"/>
      <c r="S48" s="139"/>
      <c r="T48" s="139"/>
      <c r="U48" s="139"/>
      <c r="V48" s="139"/>
      <c r="W48" s="563"/>
      <c r="X48" s="563"/>
      <c r="Y48" s="563"/>
      <c r="Z48" s="563"/>
      <c r="AA48" s="563"/>
      <c r="AB48" s="563"/>
      <c r="AC48" s="563"/>
      <c r="AD48" s="563"/>
      <c r="AE48" s="563"/>
      <c r="AF48" s="563"/>
      <c r="AG48" s="563"/>
      <c r="AH48" s="563"/>
      <c r="AI48" s="563"/>
      <c r="AJ48" s="563"/>
      <c r="AK48" s="563"/>
      <c r="AL48" s="563"/>
      <c r="AM48" s="563"/>
      <c r="AN48" s="563"/>
      <c r="AO48" s="563"/>
    </row>
    <row r="49" spans="1:41" ht="15">
      <c r="A49" s="7"/>
      <c r="B49" s="139"/>
      <c r="E49" s="163"/>
      <c r="F49" s="163"/>
      <c r="G49" s="163"/>
      <c r="H49" s="163"/>
      <c r="I49" s="163"/>
      <c r="J49" s="163"/>
      <c r="K49" s="163"/>
      <c r="L49" s="139"/>
      <c r="M49" s="163"/>
      <c r="N49" s="163"/>
      <c r="O49" s="163"/>
      <c r="P49" s="163"/>
      <c r="Q49" s="163"/>
      <c r="R49" s="139"/>
      <c r="S49" s="139"/>
      <c r="T49" s="139"/>
      <c r="U49" s="139"/>
      <c r="V49" s="139"/>
      <c r="W49" s="563"/>
      <c r="X49" s="563"/>
      <c r="Y49" s="563"/>
      <c r="Z49" s="563"/>
      <c r="AA49" s="563"/>
      <c r="AB49" s="563"/>
      <c r="AC49" s="563"/>
      <c r="AD49" s="563"/>
      <c r="AE49" s="563"/>
      <c r="AF49" s="563"/>
      <c r="AG49" s="563"/>
      <c r="AH49" s="563"/>
      <c r="AI49" s="563"/>
      <c r="AJ49" s="563"/>
      <c r="AK49" s="563"/>
      <c r="AL49" s="563"/>
      <c r="AM49" s="563"/>
      <c r="AN49" s="563"/>
      <c r="AO49" s="563"/>
    </row>
    <row r="50" spans="1:41" ht="15">
      <c r="A50" s="7"/>
      <c r="B50" s="139"/>
      <c r="E50" s="163"/>
      <c r="F50" s="163"/>
      <c r="G50" s="163"/>
      <c r="H50" s="163"/>
      <c r="I50" s="163"/>
      <c r="J50" s="163"/>
      <c r="K50" s="163"/>
      <c r="L50" s="139"/>
      <c r="M50" s="163"/>
      <c r="N50" s="163"/>
      <c r="O50" s="163"/>
      <c r="P50" s="163"/>
      <c r="Q50" s="163"/>
      <c r="R50" s="139"/>
      <c r="S50" s="139"/>
      <c r="T50" s="139"/>
      <c r="U50" s="139"/>
      <c r="V50" s="139"/>
      <c r="W50" s="563"/>
      <c r="X50" s="563"/>
      <c r="Y50" s="563"/>
      <c r="Z50" s="563"/>
      <c r="AA50" s="563"/>
      <c r="AB50" s="563"/>
      <c r="AC50" s="563"/>
      <c r="AD50" s="563"/>
      <c r="AE50" s="563"/>
      <c r="AF50" s="563"/>
      <c r="AG50" s="563"/>
      <c r="AH50" s="563"/>
      <c r="AI50" s="563"/>
      <c r="AJ50" s="563"/>
      <c r="AK50" s="563"/>
      <c r="AL50" s="563"/>
      <c r="AM50" s="563"/>
      <c r="AN50" s="563"/>
      <c r="AO50" s="563"/>
    </row>
    <row r="51" spans="1:41" ht="15">
      <c r="A51" s="7"/>
      <c r="B51" s="139"/>
      <c r="E51" s="163"/>
      <c r="F51" s="163"/>
      <c r="G51" s="163"/>
      <c r="H51" s="163"/>
      <c r="I51" s="163"/>
      <c r="J51" s="163"/>
      <c r="K51" s="163"/>
      <c r="L51" s="139"/>
      <c r="M51" s="163"/>
      <c r="N51" s="163"/>
      <c r="O51" s="163"/>
      <c r="P51" s="163"/>
      <c r="Q51" s="163"/>
      <c r="R51" s="139"/>
      <c r="S51" s="139"/>
      <c r="T51" s="139"/>
      <c r="U51" s="139"/>
      <c r="V51" s="139"/>
      <c r="W51" s="563"/>
      <c r="X51" s="563"/>
      <c r="Y51" s="563"/>
      <c r="Z51" s="563"/>
      <c r="AA51" s="563"/>
      <c r="AB51" s="563"/>
      <c r="AC51" s="563"/>
      <c r="AD51" s="563"/>
      <c r="AE51" s="563"/>
      <c r="AF51" s="563"/>
      <c r="AG51" s="563"/>
      <c r="AH51" s="563"/>
      <c r="AI51" s="563"/>
      <c r="AJ51" s="563"/>
      <c r="AK51" s="563"/>
      <c r="AL51" s="563"/>
      <c r="AM51" s="563"/>
      <c r="AN51" s="563"/>
      <c r="AO51" s="563"/>
    </row>
    <row r="52" spans="1:41" ht="15">
      <c r="A52" s="7"/>
      <c r="B52" s="139"/>
      <c r="E52" s="163"/>
      <c r="F52" s="163"/>
      <c r="G52" s="163"/>
      <c r="H52" s="163"/>
      <c r="I52" s="163"/>
      <c r="J52" s="163"/>
      <c r="K52" s="163"/>
      <c r="L52" s="139"/>
      <c r="M52" s="163"/>
      <c r="N52" s="163"/>
      <c r="O52" s="163"/>
      <c r="P52" s="163"/>
      <c r="Q52" s="163"/>
      <c r="R52" s="139"/>
      <c r="S52" s="139"/>
      <c r="T52" s="139"/>
      <c r="U52" s="139"/>
      <c r="V52" s="139"/>
      <c r="W52" s="563"/>
      <c r="X52" s="563"/>
      <c r="Y52" s="563"/>
      <c r="Z52" s="563"/>
      <c r="AA52" s="563"/>
      <c r="AB52" s="563"/>
      <c r="AC52" s="563"/>
      <c r="AD52" s="563"/>
      <c r="AE52" s="563"/>
      <c r="AF52" s="563"/>
      <c r="AG52" s="563"/>
      <c r="AH52" s="563"/>
      <c r="AI52" s="563"/>
      <c r="AJ52" s="563"/>
      <c r="AK52" s="563"/>
      <c r="AL52" s="563"/>
      <c r="AM52" s="563"/>
      <c r="AN52" s="563"/>
      <c r="AO52" s="563"/>
    </row>
    <row r="53" spans="1:41" ht="15">
      <c r="A53" s="7"/>
      <c r="B53" s="139"/>
      <c r="E53" s="163"/>
      <c r="F53" s="163"/>
      <c r="G53" s="163"/>
      <c r="H53" s="163"/>
      <c r="I53" s="163"/>
      <c r="J53" s="163"/>
      <c r="K53" s="163"/>
      <c r="L53" s="139"/>
      <c r="M53" s="163"/>
      <c r="N53" s="163"/>
      <c r="O53" s="163"/>
      <c r="P53" s="163"/>
      <c r="Q53" s="163"/>
      <c r="R53" s="139"/>
      <c r="S53" s="139"/>
      <c r="T53" s="139"/>
      <c r="U53" s="139"/>
      <c r="V53" s="139"/>
      <c r="W53" s="563"/>
      <c r="X53" s="563"/>
      <c r="Y53" s="563"/>
      <c r="Z53" s="563"/>
      <c r="AA53" s="563"/>
      <c r="AB53" s="563"/>
      <c r="AC53" s="563"/>
      <c r="AD53" s="563"/>
      <c r="AE53" s="563"/>
      <c r="AF53" s="563"/>
      <c r="AG53" s="563"/>
      <c r="AH53" s="563"/>
      <c r="AI53" s="563"/>
      <c r="AJ53" s="563"/>
      <c r="AK53" s="563"/>
      <c r="AL53" s="563"/>
      <c r="AM53" s="563"/>
      <c r="AN53" s="563"/>
      <c r="AO53" s="563"/>
    </row>
    <row r="54" spans="1:41" ht="15">
      <c r="A54" s="7"/>
      <c r="B54" s="139"/>
      <c r="E54" s="163"/>
      <c r="F54" s="163"/>
      <c r="G54" s="163"/>
      <c r="H54" s="163"/>
      <c r="I54" s="163"/>
      <c r="J54" s="163"/>
      <c r="K54" s="163"/>
      <c r="L54" s="139"/>
      <c r="M54" s="163"/>
      <c r="N54" s="163"/>
      <c r="O54" s="163"/>
      <c r="P54" s="163"/>
      <c r="Q54" s="163"/>
      <c r="R54" s="139"/>
      <c r="S54" s="139"/>
      <c r="T54" s="139"/>
      <c r="U54" s="139"/>
      <c r="V54" s="139"/>
      <c r="W54" s="563"/>
      <c r="X54" s="563"/>
      <c r="Y54" s="563"/>
      <c r="Z54" s="563"/>
      <c r="AA54" s="563"/>
      <c r="AB54" s="563"/>
      <c r="AC54" s="563"/>
      <c r="AD54" s="563"/>
      <c r="AE54" s="563"/>
      <c r="AF54" s="563"/>
      <c r="AG54" s="563"/>
      <c r="AH54" s="563"/>
      <c r="AI54" s="563"/>
      <c r="AJ54" s="563"/>
      <c r="AK54" s="563"/>
      <c r="AL54" s="563"/>
      <c r="AM54" s="563"/>
      <c r="AN54" s="563"/>
      <c r="AO54" s="563"/>
    </row>
    <row r="55" spans="1:41" ht="15">
      <c r="A55" s="7"/>
      <c r="B55" s="139"/>
      <c r="E55" s="163"/>
      <c r="F55" s="163"/>
      <c r="G55" s="163"/>
      <c r="H55" s="163"/>
      <c r="I55" s="163"/>
      <c r="J55" s="163"/>
      <c r="K55" s="163"/>
      <c r="L55" s="139"/>
      <c r="M55" s="163"/>
      <c r="N55" s="163"/>
      <c r="O55" s="163"/>
      <c r="P55" s="163"/>
      <c r="Q55" s="163"/>
      <c r="R55" s="139"/>
      <c r="S55" s="139"/>
      <c r="T55" s="139"/>
      <c r="U55" s="139"/>
      <c r="V55" s="139"/>
      <c r="W55" s="563"/>
      <c r="X55" s="563"/>
      <c r="Y55" s="563"/>
      <c r="Z55" s="563"/>
      <c r="AA55" s="563"/>
      <c r="AB55" s="563"/>
      <c r="AC55" s="563"/>
      <c r="AD55" s="563"/>
      <c r="AE55" s="563"/>
      <c r="AF55" s="563"/>
      <c r="AG55" s="563"/>
      <c r="AH55" s="563"/>
      <c r="AI55" s="563"/>
      <c r="AJ55" s="563"/>
      <c r="AK55" s="563"/>
      <c r="AL55" s="563"/>
      <c r="AM55" s="563"/>
      <c r="AN55" s="563"/>
      <c r="AO55" s="563"/>
    </row>
    <row r="56" spans="1:41" ht="15">
      <c r="A56" s="7"/>
      <c r="B56" s="139"/>
      <c r="E56" s="163"/>
      <c r="F56" s="163"/>
      <c r="G56" s="163"/>
      <c r="H56" s="163"/>
      <c r="I56" s="163"/>
      <c r="J56" s="163"/>
      <c r="K56" s="163"/>
      <c r="L56" s="139"/>
      <c r="M56" s="163"/>
      <c r="N56" s="163"/>
      <c r="O56" s="163"/>
      <c r="P56" s="163"/>
      <c r="Q56" s="163"/>
      <c r="R56" s="139"/>
      <c r="S56" s="139"/>
      <c r="T56" s="139"/>
      <c r="U56" s="139"/>
      <c r="V56" s="139"/>
      <c r="W56" s="563"/>
      <c r="X56" s="563"/>
      <c r="Y56" s="563"/>
      <c r="Z56" s="563"/>
      <c r="AA56" s="563"/>
      <c r="AB56" s="563"/>
      <c r="AC56" s="563"/>
      <c r="AD56" s="563"/>
      <c r="AE56" s="563"/>
      <c r="AF56" s="563"/>
      <c r="AG56" s="563"/>
      <c r="AH56" s="563"/>
      <c r="AI56" s="563"/>
      <c r="AJ56" s="563"/>
      <c r="AK56" s="563"/>
      <c r="AL56" s="563"/>
      <c r="AM56" s="563"/>
      <c r="AN56" s="563"/>
      <c r="AO56" s="563"/>
    </row>
    <row r="57" spans="1:41" ht="15">
      <c r="A57" s="7"/>
      <c r="B57" s="139"/>
      <c r="E57" s="163"/>
      <c r="F57" s="163"/>
      <c r="G57" s="163"/>
      <c r="H57" s="163"/>
      <c r="I57" s="163"/>
      <c r="J57" s="163"/>
      <c r="K57" s="163"/>
      <c r="L57" s="139"/>
      <c r="M57" s="163"/>
      <c r="N57" s="163"/>
      <c r="O57" s="163"/>
      <c r="P57" s="163"/>
      <c r="Q57" s="163"/>
      <c r="R57" s="139"/>
      <c r="S57" s="139"/>
      <c r="T57" s="139"/>
      <c r="U57" s="139"/>
      <c r="V57" s="139"/>
      <c r="W57" s="563"/>
      <c r="X57" s="563"/>
      <c r="Y57" s="563"/>
      <c r="Z57" s="563"/>
      <c r="AA57" s="563"/>
      <c r="AB57" s="563"/>
      <c r="AC57" s="563"/>
      <c r="AD57" s="563"/>
      <c r="AE57" s="563"/>
      <c r="AF57" s="563"/>
      <c r="AG57" s="563"/>
      <c r="AH57" s="563"/>
      <c r="AI57" s="563"/>
      <c r="AJ57" s="563"/>
      <c r="AK57" s="563"/>
      <c r="AL57" s="563"/>
      <c r="AM57" s="563"/>
      <c r="AN57" s="563"/>
      <c r="AO57" s="563"/>
    </row>
    <row r="58" spans="1:41" ht="15">
      <c r="A58" s="7"/>
      <c r="B58" s="139"/>
      <c r="E58" s="163"/>
      <c r="F58" s="163"/>
      <c r="G58" s="163"/>
      <c r="H58" s="163"/>
      <c r="I58" s="163"/>
      <c r="J58" s="163"/>
      <c r="K58" s="163"/>
      <c r="L58" s="139"/>
      <c r="M58" s="163"/>
      <c r="N58" s="163"/>
      <c r="O58" s="163"/>
      <c r="P58" s="163"/>
      <c r="Q58" s="163"/>
      <c r="R58" s="139"/>
      <c r="S58" s="139"/>
      <c r="T58" s="139"/>
      <c r="U58" s="139"/>
      <c r="V58" s="139"/>
      <c r="W58" s="563"/>
      <c r="X58" s="563"/>
      <c r="Y58" s="563"/>
      <c r="Z58" s="563"/>
      <c r="AA58" s="563"/>
      <c r="AB58" s="563"/>
      <c r="AC58" s="563"/>
      <c r="AD58" s="563"/>
      <c r="AE58" s="563"/>
      <c r="AF58" s="563"/>
      <c r="AG58" s="563"/>
      <c r="AH58" s="563"/>
      <c r="AI58" s="563"/>
      <c r="AJ58" s="563"/>
      <c r="AK58" s="563"/>
      <c r="AL58" s="563"/>
      <c r="AM58" s="563"/>
      <c r="AN58" s="563"/>
      <c r="AO58" s="563"/>
    </row>
    <row r="59" spans="1:41" ht="15">
      <c r="A59" s="7"/>
      <c r="B59" s="139"/>
      <c r="E59" s="163"/>
      <c r="F59" s="163"/>
      <c r="G59" s="163"/>
      <c r="H59" s="163"/>
      <c r="I59" s="163"/>
      <c r="J59" s="163"/>
      <c r="K59" s="163"/>
      <c r="L59" s="139"/>
      <c r="M59" s="163"/>
      <c r="N59" s="163"/>
      <c r="O59" s="163"/>
      <c r="P59" s="163"/>
      <c r="Q59" s="163"/>
      <c r="R59" s="139"/>
      <c r="S59" s="139"/>
      <c r="T59" s="139"/>
      <c r="U59" s="139"/>
      <c r="V59" s="139"/>
      <c r="W59" s="563"/>
      <c r="X59" s="563"/>
      <c r="Y59" s="563"/>
      <c r="Z59" s="563"/>
      <c r="AA59" s="563"/>
      <c r="AB59" s="563"/>
      <c r="AC59" s="563"/>
      <c r="AD59" s="563"/>
      <c r="AE59" s="563"/>
      <c r="AF59" s="563"/>
      <c r="AG59" s="563"/>
      <c r="AH59" s="563"/>
      <c r="AI59" s="563"/>
      <c r="AJ59" s="563"/>
      <c r="AK59" s="563"/>
      <c r="AL59" s="563"/>
      <c r="AM59" s="563"/>
      <c r="AN59" s="563"/>
      <c r="AO59" s="563"/>
    </row>
    <row r="60" spans="1:41" ht="15">
      <c r="A60" s="7"/>
      <c r="B60" s="139"/>
      <c r="E60" s="163"/>
      <c r="F60" s="163"/>
      <c r="G60" s="163"/>
      <c r="H60" s="163"/>
      <c r="I60" s="163"/>
      <c r="J60" s="163"/>
      <c r="K60" s="163"/>
      <c r="L60" s="139"/>
      <c r="M60" s="163"/>
      <c r="N60" s="163"/>
      <c r="O60" s="163"/>
      <c r="P60" s="163"/>
      <c r="Q60" s="163"/>
      <c r="R60" s="139"/>
      <c r="S60" s="139"/>
      <c r="T60" s="139"/>
      <c r="U60" s="139"/>
      <c r="V60" s="139"/>
      <c r="W60" s="563"/>
      <c r="X60" s="563"/>
      <c r="Y60" s="563"/>
      <c r="Z60" s="563"/>
      <c r="AA60" s="563"/>
      <c r="AB60" s="563"/>
      <c r="AC60" s="563"/>
      <c r="AD60" s="563"/>
      <c r="AE60" s="563"/>
      <c r="AF60" s="563"/>
      <c r="AG60" s="563"/>
      <c r="AH60" s="563"/>
      <c r="AI60" s="563"/>
      <c r="AJ60" s="563"/>
      <c r="AK60" s="563"/>
      <c r="AL60" s="563"/>
      <c r="AM60" s="563"/>
      <c r="AN60" s="563"/>
      <c r="AO60" s="563"/>
    </row>
    <row r="61" spans="1:41" ht="15">
      <c r="A61" s="7"/>
      <c r="B61" s="139"/>
      <c r="E61" s="163"/>
      <c r="F61" s="163"/>
      <c r="G61" s="163"/>
      <c r="H61" s="163"/>
      <c r="I61" s="163"/>
      <c r="J61" s="163"/>
      <c r="K61" s="163"/>
      <c r="L61" s="139"/>
      <c r="M61" s="163"/>
      <c r="N61" s="163"/>
      <c r="O61" s="163"/>
      <c r="P61" s="163"/>
      <c r="Q61" s="163"/>
      <c r="R61" s="139"/>
      <c r="S61" s="139"/>
      <c r="T61" s="139"/>
      <c r="U61" s="139"/>
      <c r="V61" s="139"/>
      <c r="W61" s="563"/>
      <c r="X61" s="563"/>
      <c r="Y61" s="563"/>
      <c r="Z61" s="563"/>
      <c r="AA61" s="563"/>
      <c r="AB61" s="563"/>
      <c r="AC61" s="563"/>
      <c r="AD61" s="563"/>
      <c r="AE61" s="563"/>
      <c r="AF61" s="563"/>
      <c r="AG61" s="563"/>
      <c r="AH61" s="563"/>
      <c r="AI61" s="563"/>
      <c r="AJ61" s="563"/>
      <c r="AK61" s="563"/>
      <c r="AL61" s="563"/>
      <c r="AM61" s="563"/>
      <c r="AN61" s="563"/>
      <c r="AO61" s="563"/>
    </row>
    <row r="62" spans="1:41" ht="15">
      <c r="A62" s="7"/>
      <c r="B62" s="139"/>
      <c r="E62" s="163"/>
      <c r="F62" s="163"/>
      <c r="G62" s="163"/>
      <c r="H62" s="163"/>
      <c r="I62" s="163"/>
      <c r="J62" s="163"/>
      <c r="K62" s="163"/>
      <c r="L62" s="139"/>
      <c r="M62" s="163"/>
      <c r="N62" s="163"/>
      <c r="O62" s="163"/>
      <c r="P62" s="163"/>
      <c r="Q62" s="163"/>
      <c r="R62" s="139"/>
      <c r="S62" s="139"/>
      <c r="T62" s="139"/>
      <c r="U62" s="139"/>
      <c r="V62" s="139"/>
      <c r="W62" s="563"/>
      <c r="X62" s="563"/>
      <c r="Y62" s="563"/>
      <c r="Z62" s="563"/>
      <c r="AA62" s="563"/>
      <c r="AB62" s="563"/>
      <c r="AC62" s="563"/>
      <c r="AD62" s="563"/>
      <c r="AE62" s="563"/>
      <c r="AF62" s="563"/>
      <c r="AG62" s="563"/>
      <c r="AH62" s="563"/>
      <c r="AI62" s="563"/>
      <c r="AJ62" s="563"/>
      <c r="AK62" s="563"/>
      <c r="AL62" s="563"/>
      <c r="AM62" s="563"/>
      <c r="AN62" s="563"/>
      <c r="AO62" s="563"/>
    </row>
    <row r="63" spans="1:41" ht="15">
      <c r="A63" s="7"/>
      <c r="B63" s="139"/>
      <c r="E63" s="163"/>
      <c r="F63" s="163"/>
      <c r="G63" s="163"/>
      <c r="H63" s="163"/>
      <c r="I63" s="163"/>
      <c r="J63" s="163"/>
      <c r="K63" s="163"/>
      <c r="L63" s="139"/>
      <c r="M63" s="163"/>
      <c r="N63" s="163"/>
      <c r="O63" s="163"/>
      <c r="P63" s="163"/>
      <c r="Q63" s="163"/>
      <c r="R63" s="139"/>
      <c r="S63" s="139"/>
      <c r="T63" s="139"/>
      <c r="U63" s="139"/>
      <c r="V63" s="139"/>
      <c r="W63" s="563"/>
      <c r="X63" s="563"/>
      <c r="Y63" s="563"/>
      <c r="Z63" s="563"/>
      <c r="AA63" s="563"/>
      <c r="AB63" s="563"/>
      <c r="AC63" s="563"/>
      <c r="AD63" s="563"/>
      <c r="AE63" s="563"/>
      <c r="AF63" s="563"/>
      <c r="AG63" s="563"/>
      <c r="AH63" s="563"/>
      <c r="AI63" s="563"/>
      <c r="AJ63" s="563"/>
      <c r="AK63" s="563"/>
      <c r="AL63" s="563"/>
      <c r="AM63" s="563"/>
      <c r="AN63" s="563"/>
      <c r="AO63" s="563"/>
    </row>
    <row r="64" spans="1:41" ht="15">
      <c r="A64" s="7"/>
      <c r="B64" s="139"/>
      <c r="E64" s="163"/>
      <c r="F64" s="163"/>
      <c r="G64" s="163"/>
      <c r="H64" s="163"/>
      <c r="I64" s="163"/>
      <c r="J64" s="163"/>
      <c r="K64" s="163"/>
      <c r="L64" s="139"/>
      <c r="M64" s="163"/>
      <c r="N64" s="163"/>
      <c r="O64" s="163"/>
      <c r="P64" s="163"/>
      <c r="Q64" s="163"/>
      <c r="R64" s="139"/>
      <c r="S64" s="139"/>
      <c r="T64" s="139"/>
      <c r="U64" s="139"/>
      <c r="V64" s="139"/>
      <c r="W64" s="563"/>
      <c r="X64" s="563"/>
      <c r="Y64" s="563"/>
      <c r="Z64" s="563"/>
      <c r="AA64" s="563"/>
      <c r="AB64" s="563"/>
      <c r="AC64" s="563"/>
      <c r="AD64" s="563"/>
      <c r="AE64" s="563"/>
      <c r="AF64" s="563"/>
      <c r="AG64" s="563"/>
      <c r="AH64" s="563"/>
      <c r="AI64" s="563"/>
      <c r="AJ64" s="563"/>
      <c r="AK64" s="563"/>
      <c r="AL64" s="563"/>
      <c r="AM64" s="563"/>
      <c r="AN64" s="563"/>
      <c r="AO64" s="563"/>
    </row>
    <row r="65" spans="1:41" ht="15">
      <c r="A65" s="7"/>
      <c r="B65" s="139"/>
      <c r="E65" s="163"/>
      <c r="F65" s="163"/>
      <c r="G65" s="163"/>
      <c r="H65" s="163"/>
      <c r="I65" s="163"/>
      <c r="J65" s="163"/>
      <c r="K65" s="163"/>
      <c r="L65" s="139"/>
      <c r="M65" s="163"/>
      <c r="N65" s="163"/>
      <c r="O65" s="163"/>
      <c r="P65" s="163"/>
      <c r="Q65" s="163"/>
      <c r="R65" s="139"/>
      <c r="S65" s="139"/>
      <c r="T65" s="139"/>
      <c r="U65" s="139"/>
      <c r="V65" s="139"/>
      <c r="W65" s="563"/>
      <c r="X65" s="563"/>
      <c r="Y65" s="563"/>
      <c r="Z65" s="563"/>
      <c r="AA65" s="563"/>
      <c r="AB65" s="563"/>
      <c r="AC65" s="563"/>
      <c r="AD65" s="563"/>
      <c r="AE65" s="563"/>
      <c r="AF65" s="563"/>
      <c r="AG65" s="563"/>
      <c r="AH65" s="563"/>
      <c r="AI65" s="563"/>
      <c r="AJ65" s="563"/>
      <c r="AK65" s="563"/>
      <c r="AL65" s="563"/>
      <c r="AM65" s="563"/>
      <c r="AN65" s="563"/>
      <c r="AO65" s="563"/>
    </row>
    <row r="66" spans="1:41" ht="15">
      <c r="A66" s="7"/>
      <c r="B66" s="139"/>
      <c r="E66" s="163"/>
      <c r="F66" s="163"/>
      <c r="G66" s="163"/>
      <c r="H66" s="163"/>
      <c r="I66" s="163"/>
      <c r="J66" s="163"/>
      <c r="K66" s="163"/>
      <c r="L66" s="139"/>
      <c r="M66" s="163"/>
      <c r="N66" s="163"/>
      <c r="O66" s="163"/>
      <c r="P66" s="163"/>
      <c r="Q66" s="163"/>
      <c r="R66" s="139"/>
      <c r="S66" s="139"/>
      <c r="T66" s="139"/>
      <c r="U66" s="139"/>
      <c r="V66" s="139"/>
      <c r="W66" s="563"/>
      <c r="X66" s="563"/>
      <c r="Y66" s="563"/>
      <c r="Z66" s="563"/>
      <c r="AA66" s="563"/>
      <c r="AB66" s="563"/>
      <c r="AC66" s="563"/>
      <c r="AD66" s="563"/>
      <c r="AE66" s="563"/>
      <c r="AF66" s="563"/>
      <c r="AG66" s="563"/>
      <c r="AH66" s="563"/>
      <c r="AI66" s="563"/>
      <c r="AJ66" s="563"/>
      <c r="AK66" s="563"/>
      <c r="AL66" s="563"/>
      <c r="AM66" s="563"/>
      <c r="AN66" s="563"/>
      <c r="AO66" s="563"/>
    </row>
    <row r="67" spans="1:41" ht="15">
      <c r="A67" s="7"/>
      <c r="B67" s="139"/>
      <c r="E67" s="163"/>
      <c r="F67" s="163"/>
      <c r="G67" s="163"/>
      <c r="H67" s="163"/>
      <c r="I67" s="163"/>
      <c r="J67" s="163"/>
      <c r="K67" s="163"/>
      <c r="L67" s="139"/>
      <c r="M67" s="163"/>
      <c r="N67" s="163"/>
      <c r="O67" s="163"/>
      <c r="P67" s="163"/>
      <c r="Q67" s="163"/>
      <c r="R67" s="139"/>
      <c r="S67" s="139"/>
      <c r="T67" s="139"/>
      <c r="U67" s="139"/>
      <c r="V67" s="139"/>
      <c r="W67" s="563"/>
      <c r="X67" s="563"/>
      <c r="Y67" s="563"/>
      <c r="Z67" s="563"/>
      <c r="AA67" s="563"/>
      <c r="AB67" s="563"/>
      <c r="AC67" s="563"/>
      <c r="AD67" s="563"/>
      <c r="AE67" s="563"/>
      <c r="AF67" s="563"/>
      <c r="AG67" s="563"/>
      <c r="AH67" s="563"/>
      <c r="AI67" s="563"/>
      <c r="AJ67" s="563"/>
      <c r="AK67" s="563"/>
      <c r="AL67" s="563"/>
      <c r="AM67" s="563"/>
      <c r="AN67" s="563"/>
      <c r="AO67" s="563"/>
    </row>
    <row r="68" spans="1:41" ht="15">
      <c r="A68" s="7"/>
      <c r="B68" s="139"/>
      <c r="E68" s="163"/>
      <c r="F68" s="163"/>
      <c r="G68" s="163"/>
      <c r="H68" s="163"/>
      <c r="I68" s="163"/>
      <c r="J68" s="163"/>
      <c r="K68" s="163"/>
      <c r="L68" s="139"/>
      <c r="M68" s="163"/>
      <c r="N68" s="163"/>
      <c r="O68" s="163"/>
      <c r="P68" s="163"/>
      <c r="Q68" s="163"/>
      <c r="R68" s="139"/>
      <c r="S68" s="139"/>
      <c r="T68" s="139"/>
      <c r="U68" s="139"/>
      <c r="V68" s="139"/>
      <c r="W68" s="563"/>
      <c r="X68" s="563"/>
      <c r="Y68" s="563"/>
      <c r="Z68" s="563"/>
      <c r="AA68" s="563"/>
      <c r="AB68" s="563"/>
      <c r="AC68" s="563"/>
      <c r="AD68" s="563"/>
      <c r="AE68" s="563"/>
      <c r="AF68" s="563"/>
      <c r="AG68" s="563"/>
      <c r="AH68" s="563"/>
      <c r="AI68" s="563"/>
      <c r="AJ68" s="563"/>
      <c r="AK68" s="563"/>
      <c r="AL68" s="563"/>
      <c r="AM68" s="563"/>
      <c r="AN68" s="563"/>
      <c r="AO68" s="563"/>
    </row>
    <row r="69" spans="1:41" ht="15">
      <c r="A69" s="7"/>
      <c r="B69" s="139"/>
      <c r="E69" s="163"/>
      <c r="F69" s="163"/>
      <c r="G69" s="163"/>
      <c r="H69" s="163"/>
      <c r="I69" s="163"/>
      <c r="J69" s="163"/>
      <c r="K69" s="163"/>
      <c r="L69" s="139"/>
      <c r="M69" s="163"/>
      <c r="N69" s="163"/>
      <c r="O69" s="163"/>
      <c r="P69" s="163"/>
      <c r="Q69" s="163"/>
      <c r="R69" s="139"/>
      <c r="S69" s="139"/>
      <c r="T69" s="139"/>
      <c r="U69" s="139"/>
      <c r="V69" s="139"/>
      <c r="W69" s="563"/>
      <c r="X69" s="563"/>
      <c r="Y69" s="563"/>
      <c r="Z69" s="563"/>
      <c r="AA69" s="563"/>
      <c r="AB69" s="563"/>
      <c r="AC69" s="563"/>
      <c r="AD69" s="563"/>
      <c r="AE69" s="563"/>
      <c r="AF69" s="563"/>
      <c r="AG69" s="563"/>
      <c r="AH69" s="563"/>
      <c r="AI69" s="563"/>
      <c r="AJ69" s="563"/>
      <c r="AK69" s="563"/>
      <c r="AL69" s="563"/>
      <c r="AM69" s="563"/>
      <c r="AN69" s="563"/>
      <c r="AO69" s="563"/>
    </row>
    <row r="70" spans="1:41" ht="15">
      <c r="A70" s="7"/>
      <c r="B70" s="139"/>
      <c r="E70" s="163"/>
      <c r="F70" s="163"/>
      <c r="G70" s="163"/>
      <c r="H70" s="163"/>
      <c r="I70" s="163"/>
      <c r="J70" s="163"/>
      <c r="K70" s="163"/>
      <c r="L70" s="139"/>
      <c r="M70" s="163"/>
      <c r="N70" s="163"/>
      <c r="O70" s="163"/>
      <c r="P70" s="163"/>
      <c r="Q70" s="163"/>
      <c r="R70" s="139"/>
      <c r="S70" s="139"/>
      <c r="T70" s="139"/>
      <c r="U70" s="139"/>
      <c r="V70" s="139"/>
      <c r="W70" s="563"/>
      <c r="X70" s="563"/>
      <c r="Y70" s="563"/>
      <c r="Z70" s="563"/>
      <c r="AA70" s="563"/>
      <c r="AB70" s="563"/>
      <c r="AC70" s="563"/>
      <c r="AD70" s="563"/>
      <c r="AE70" s="563"/>
      <c r="AF70" s="563"/>
      <c r="AG70" s="563"/>
      <c r="AH70" s="563"/>
      <c r="AI70" s="563"/>
      <c r="AJ70" s="563"/>
      <c r="AK70" s="563"/>
      <c r="AL70" s="563"/>
      <c r="AM70" s="563"/>
      <c r="AN70" s="563"/>
      <c r="AO70" s="563"/>
    </row>
    <row r="71" spans="1:41" ht="15">
      <c r="A71" s="7"/>
      <c r="B71" s="139"/>
      <c r="E71" s="163"/>
      <c r="F71" s="163"/>
      <c r="G71" s="163"/>
      <c r="H71" s="163"/>
      <c r="I71" s="163"/>
      <c r="J71" s="163"/>
      <c r="K71" s="163"/>
      <c r="L71" s="139"/>
      <c r="M71" s="163"/>
      <c r="N71" s="163"/>
      <c r="O71" s="163"/>
      <c r="P71" s="163"/>
      <c r="Q71" s="163"/>
      <c r="R71" s="139"/>
      <c r="S71" s="139"/>
      <c r="T71" s="139"/>
      <c r="U71" s="139"/>
      <c r="V71" s="139"/>
      <c r="W71" s="563"/>
      <c r="X71" s="563"/>
      <c r="Y71" s="563"/>
      <c r="Z71" s="563"/>
      <c r="AA71" s="563"/>
      <c r="AB71" s="563"/>
      <c r="AC71" s="563"/>
      <c r="AD71" s="563"/>
      <c r="AE71" s="563"/>
      <c r="AF71" s="563"/>
      <c r="AG71" s="563"/>
      <c r="AH71" s="563"/>
      <c r="AI71" s="563"/>
      <c r="AJ71" s="563"/>
      <c r="AK71" s="563"/>
      <c r="AL71" s="563"/>
      <c r="AM71" s="563"/>
      <c r="AN71" s="563"/>
      <c r="AO71" s="563"/>
    </row>
    <row r="72" spans="1:41" ht="15">
      <c r="A72" s="7"/>
      <c r="B72" s="139"/>
      <c r="E72" s="163"/>
      <c r="F72" s="163"/>
      <c r="G72" s="163"/>
      <c r="H72" s="163"/>
      <c r="I72" s="163"/>
      <c r="J72" s="163"/>
      <c r="K72" s="163"/>
      <c r="L72" s="139"/>
      <c r="M72" s="163"/>
      <c r="N72" s="163"/>
      <c r="O72" s="163"/>
      <c r="P72" s="163"/>
      <c r="Q72" s="163"/>
      <c r="R72" s="139"/>
      <c r="S72" s="139"/>
      <c r="T72" s="139"/>
      <c r="U72" s="139"/>
      <c r="V72" s="139"/>
      <c r="W72" s="563"/>
      <c r="X72" s="563"/>
      <c r="Y72" s="563"/>
      <c r="Z72" s="563"/>
      <c r="AA72" s="563"/>
      <c r="AB72" s="563"/>
      <c r="AC72" s="563"/>
      <c r="AD72" s="563"/>
      <c r="AE72" s="563"/>
      <c r="AF72" s="563"/>
      <c r="AG72" s="563"/>
      <c r="AH72" s="563"/>
      <c r="AI72" s="563"/>
      <c r="AJ72" s="563"/>
      <c r="AK72" s="563"/>
      <c r="AL72" s="563"/>
      <c r="AM72" s="563"/>
      <c r="AN72" s="563"/>
      <c r="AO72" s="563"/>
    </row>
    <row r="73" spans="1:41" ht="15">
      <c r="A73" s="7"/>
      <c r="B73" s="139"/>
      <c r="E73" s="163"/>
      <c r="F73" s="163"/>
      <c r="G73" s="163"/>
      <c r="H73" s="163"/>
      <c r="I73" s="163"/>
      <c r="J73" s="163"/>
      <c r="K73" s="163"/>
      <c r="L73" s="139"/>
      <c r="M73" s="163"/>
      <c r="N73" s="163"/>
      <c r="O73" s="163"/>
      <c r="P73" s="163"/>
      <c r="Q73" s="163"/>
      <c r="R73" s="139"/>
      <c r="S73" s="139"/>
      <c r="T73" s="139"/>
      <c r="U73" s="139"/>
      <c r="V73" s="139"/>
      <c r="W73" s="563"/>
      <c r="X73" s="563"/>
      <c r="Y73" s="563"/>
      <c r="Z73" s="563"/>
      <c r="AA73" s="563"/>
      <c r="AB73" s="563"/>
      <c r="AC73" s="563"/>
      <c r="AD73" s="563"/>
      <c r="AE73" s="563"/>
      <c r="AF73" s="563"/>
      <c r="AG73" s="563"/>
      <c r="AH73" s="563"/>
      <c r="AI73" s="563"/>
      <c r="AJ73" s="563"/>
      <c r="AK73" s="563"/>
      <c r="AL73" s="563"/>
      <c r="AM73" s="563"/>
      <c r="AN73" s="563"/>
      <c r="AO73" s="563"/>
    </row>
    <row r="74" spans="1:41" ht="15">
      <c r="A74" s="7"/>
      <c r="B74" s="139"/>
      <c r="E74" s="163"/>
      <c r="F74" s="163"/>
      <c r="G74" s="163"/>
      <c r="H74" s="163"/>
      <c r="I74" s="163"/>
      <c r="J74" s="163"/>
      <c r="K74" s="163"/>
      <c r="L74" s="139"/>
      <c r="M74" s="163"/>
      <c r="N74" s="163"/>
      <c r="O74" s="163"/>
      <c r="P74" s="163"/>
      <c r="Q74" s="163"/>
      <c r="R74" s="139"/>
      <c r="S74" s="139"/>
      <c r="T74" s="139"/>
      <c r="U74" s="139"/>
      <c r="V74" s="139"/>
      <c r="W74" s="563"/>
      <c r="X74" s="563"/>
      <c r="Y74" s="563"/>
      <c r="Z74" s="563"/>
      <c r="AA74" s="563"/>
      <c r="AB74" s="563"/>
      <c r="AC74" s="563"/>
      <c r="AD74" s="563"/>
      <c r="AE74" s="563"/>
      <c r="AF74" s="563"/>
      <c r="AG74" s="563"/>
      <c r="AH74" s="563"/>
      <c r="AI74" s="563"/>
      <c r="AJ74" s="563"/>
      <c r="AK74" s="563"/>
      <c r="AL74" s="563"/>
      <c r="AM74" s="563"/>
      <c r="AN74" s="563"/>
      <c r="AO74" s="563"/>
    </row>
    <row r="75" spans="1:41" ht="15">
      <c r="A75" s="7"/>
      <c r="B75" s="139"/>
      <c r="E75" s="163"/>
      <c r="F75" s="163"/>
      <c r="G75" s="163"/>
      <c r="H75" s="163"/>
      <c r="I75" s="163"/>
      <c r="J75" s="163"/>
      <c r="K75" s="163"/>
      <c r="L75" s="139"/>
      <c r="M75" s="163"/>
      <c r="N75" s="163"/>
      <c r="O75" s="163"/>
      <c r="P75" s="163"/>
      <c r="Q75" s="163"/>
      <c r="R75" s="139"/>
      <c r="S75" s="139"/>
      <c r="T75" s="139"/>
      <c r="U75" s="139"/>
      <c r="V75" s="139"/>
      <c r="W75" s="563"/>
      <c r="X75" s="563"/>
      <c r="Y75" s="563"/>
      <c r="Z75" s="563"/>
      <c r="AA75" s="563"/>
      <c r="AB75" s="563"/>
      <c r="AC75" s="563"/>
      <c r="AD75" s="563"/>
      <c r="AE75" s="563"/>
      <c r="AF75" s="563"/>
      <c r="AG75" s="563"/>
      <c r="AH75" s="563"/>
      <c r="AI75" s="563"/>
      <c r="AJ75" s="563"/>
      <c r="AK75" s="563"/>
      <c r="AL75" s="563"/>
      <c r="AM75" s="563"/>
      <c r="AN75" s="563"/>
      <c r="AO75" s="563"/>
    </row>
    <row r="76" spans="1:41" ht="15">
      <c r="A76" s="7"/>
      <c r="B76" s="139"/>
      <c r="E76" s="163"/>
      <c r="F76" s="163"/>
      <c r="G76" s="163"/>
      <c r="H76" s="163"/>
      <c r="I76" s="163"/>
      <c r="J76" s="163"/>
      <c r="K76" s="163"/>
      <c r="L76" s="139"/>
      <c r="M76" s="163"/>
      <c r="N76" s="163"/>
      <c r="O76" s="163"/>
      <c r="P76" s="163"/>
      <c r="Q76" s="163"/>
      <c r="R76" s="139"/>
      <c r="S76" s="139"/>
      <c r="T76" s="139"/>
      <c r="U76" s="139"/>
      <c r="V76" s="139"/>
      <c r="W76" s="563"/>
      <c r="X76" s="563"/>
      <c r="Y76" s="563"/>
      <c r="Z76" s="563"/>
      <c r="AA76" s="563"/>
      <c r="AB76" s="563"/>
      <c r="AC76" s="563"/>
      <c r="AD76" s="563"/>
      <c r="AE76" s="563"/>
      <c r="AF76" s="563"/>
      <c r="AG76" s="563"/>
      <c r="AH76" s="563"/>
      <c r="AI76" s="563"/>
      <c r="AJ76" s="563"/>
      <c r="AK76" s="563"/>
      <c r="AL76" s="563"/>
      <c r="AM76" s="563"/>
      <c r="AN76" s="563"/>
      <c r="AO76" s="563"/>
    </row>
    <row r="77" spans="1:41" ht="15">
      <c r="A77" s="7"/>
      <c r="B77" s="139"/>
      <c r="E77" s="163"/>
      <c r="F77" s="163"/>
      <c r="G77" s="163"/>
      <c r="H77" s="163"/>
      <c r="I77" s="163"/>
      <c r="J77" s="163"/>
      <c r="K77" s="163"/>
      <c r="L77" s="139"/>
      <c r="M77" s="163"/>
      <c r="N77" s="163"/>
      <c r="O77" s="163"/>
      <c r="P77" s="163"/>
      <c r="Q77" s="163"/>
      <c r="R77" s="139"/>
      <c r="S77" s="139"/>
      <c r="T77" s="139"/>
      <c r="U77" s="139"/>
      <c r="V77" s="139"/>
      <c r="W77" s="563"/>
      <c r="X77" s="563"/>
      <c r="Y77" s="563"/>
      <c r="Z77" s="563"/>
      <c r="AA77" s="563"/>
      <c r="AB77" s="563"/>
      <c r="AC77" s="563"/>
      <c r="AD77" s="563"/>
      <c r="AE77" s="563"/>
      <c r="AF77" s="563"/>
      <c r="AG77" s="563"/>
      <c r="AH77" s="563"/>
      <c r="AI77" s="563"/>
      <c r="AJ77" s="563"/>
      <c r="AK77" s="563"/>
      <c r="AL77" s="563"/>
      <c r="AM77" s="563"/>
      <c r="AN77" s="563"/>
      <c r="AO77" s="563"/>
    </row>
    <row r="78" spans="1:41" ht="15">
      <c r="A78" s="7"/>
      <c r="B78" s="139"/>
      <c r="E78" s="163"/>
      <c r="F78" s="163"/>
      <c r="G78" s="163"/>
      <c r="H78" s="163"/>
      <c r="I78" s="163"/>
      <c r="J78" s="163"/>
      <c r="K78" s="163"/>
      <c r="L78" s="139"/>
      <c r="M78" s="163"/>
      <c r="N78" s="163"/>
      <c r="O78" s="163"/>
      <c r="P78" s="163"/>
      <c r="Q78" s="163"/>
      <c r="R78" s="139"/>
      <c r="S78" s="139"/>
      <c r="T78" s="139"/>
      <c r="U78" s="139"/>
      <c r="V78" s="139"/>
      <c r="W78" s="563"/>
      <c r="X78" s="563"/>
      <c r="Y78" s="563"/>
      <c r="Z78" s="563"/>
      <c r="AA78" s="563"/>
      <c r="AB78" s="563"/>
      <c r="AC78" s="563"/>
      <c r="AD78" s="563"/>
      <c r="AE78" s="563"/>
      <c r="AF78" s="563"/>
      <c r="AG78" s="563"/>
      <c r="AH78" s="563"/>
      <c r="AI78" s="563"/>
      <c r="AJ78" s="563"/>
      <c r="AK78" s="563"/>
      <c r="AL78" s="563"/>
      <c r="AM78" s="563"/>
      <c r="AN78" s="563"/>
      <c r="AO78" s="563"/>
    </row>
    <row r="79" spans="1:41" ht="15">
      <c r="A79" s="7"/>
      <c r="B79" s="139"/>
      <c r="E79" s="163"/>
      <c r="F79" s="163"/>
      <c r="G79" s="163"/>
      <c r="H79" s="163"/>
      <c r="I79" s="163"/>
      <c r="J79" s="163"/>
      <c r="K79" s="163"/>
      <c r="L79" s="139"/>
      <c r="M79" s="163"/>
      <c r="N79" s="163"/>
      <c r="O79" s="163"/>
      <c r="P79" s="163"/>
      <c r="Q79" s="163"/>
      <c r="R79" s="139"/>
      <c r="S79" s="139"/>
      <c r="T79" s="139"/>
      <c r="U79" s="139"/>
      <c r="V79" s="139"/>
      <c r="W79" s="563"/>
      <c r="X79" s="563"/>
      <c r="Y79" s="563"/>
      <c r="Z79" s="563"/>
      <c r="AA79" s="563"/>
      <c r="AB79" s="563"/>
      <c r="AC79" s="563"/>
      <c r="AD79" s="563"/>
      <c r="AE79" s="563"/>
      <c r="AF79" s="563"/>
      <c r="AG79" s="563"/>
      <c r="AH79" s="563"/>
      <c r="AI79" s="563"/>
      <c r="AJ79" s="563"/>
      <c r="AK79" s="563"/>
      <c r="AL79" s="563"/>
      <c r="AM79" s="563"/>
      <c r="AN79" s="563"/>
      <c r="AO79" s="563"/>
    </row>
    <row r="80" spans="1:41" ht="15">
      <c r="A80" s="7"/>
      <c r="B80" s="139"/>
      <c r="E80" s="163"/>
      <c r="F80" s="163"/>
      <c r="G80" s="163"/>
      <c r="H80" s="163"/>
      <c r="I80" s="163"/>
      <c r="J80" s="163"/>
      <c r="K80" s="163"/>
      <c r="L80" s="139"/>
      <c r="M80" s="163"/>
      <c r="N80" s="163"/>
      <c r="O80" s="163"/>
      <c r="P80" s="163"/>
      <c r="Q80" s="163"/>
      <c r="R80" s="139"/>
      <c r="S80" s="139"/>
      <c r="T80" s="139"/>
      <c r="U80" s="139"/>
      <c r="V80" s="139"/>
      <c r="W80" s="563"/>
      <c r="X80" s="563"/>
      <c r="Y80" s="563"/>
      <c r="Z80" s="563"/>
      <c r="AA80" s="563"/>
      <c r="AB80" s="563"/>
      <c r="AC80" s="563"/>
      <c r="AD80" s="563"/>
      <c r="AE80" s="563"/>
      <c r="AF80" s="563"/>
      <c r="AG80" s="563"/>
      <c r="AH80" s="563"/>
      <c r="AI80" s="563"/>
      <c r="AJ80" s="563"/>
      <c r="AK80" s="563"/>
      <c r="AL80" s="563"/>
      <c r="AM80" s="563"/>
      <c r="AN80" s="563"/>
      <c r="AO80" s="563"/>
    </row>
    <row r="81" spans="1:41" ht="15">
      <c r="A81" s="7"/>
      <c r="B81" s="139"/>
      <c r="E81" s="163"/>
      <c r="F81" s="163"/>
      <c r="G81" s="163"/>
      <c r="H81" s="163"/>
      <c r="I81" s="163"/>
      <c r="J81" s="163"/>
      <c r="K81" s="163"/>
      <c r="L81" s="139"/>
      <c r="M81" s="163"/>
      <c r="N81" s="163"/>
      <c r="O81" s="163"/>
      <c r="P81" s="163"/>
      <c r="Q81" s="163"/>
      <c r="R81" s="139"/>
      <c r="S81" s="139"/>
      <c r="T81" s="139"/>
      <c r="U81" s="139"/>
      <c r="V81" s="139"/>
      <c r="W81" s="563"/>
      <c r="X81" s="563"/>
      <c r="Y81" s="563"/>
      <c r="Z81" s="563"/>
      <c r="AA81" s="563"/>
      <c r="AB81" s="563"/>
      <c r="AC81" s="563"/>
      <c r="AD81" s="563"/>
      <c r="AE81" s="563"/>
      <c r="AF81" s="563"/>
      <c r="AG81" s="563"/>
      <c r="AH81" s="563"/>
      <c r="AI81" s="563"/>
      <c r="AJ81" s="563"/>
      <c r="AK81" s="563"/>
      <c r="AL81" s="563"/>
      <c r="AM81" s="563"/>
      <c r="AN81" s="563"/>
      <c r="AO81" s="563"/>
    </row>
    <row r="82" spans="1:41" ht="15">
      <c r="A82" s="7"/>
      <c r="B82" s="139"/>
      <c r="E82" s="163"/>
      <c r="F82" s="163"/>
      <c r="G82" s="163"/>
      <c r="H82" s="163"/>
      <c r="I82" s="163"/>
      <c r="J82" s="163"/>
      <c r="K82" s="163"/>
      <c r="L82" s="139"/>
      <c r="M82" s="163"/>
      <c r="N82" s="163"/>
      <c r="O82" s="163"/>
      <c r="P82" s="163"/>
      <c r="Q82" s="163"/>
      <c r="R82" s="139"/>
      <c r="S82" s="139"/>
      <c r="T82" s="139"/>
      <c r="U82" s="139"/>
      <c r="V82" s="139"/>
      <c r="W82" s="563"/>
      <c r="X82" s="563"/>
      <c r="Y82" s="563"/>
      <c r="Z82" s="563"/>
      <c r="AA82" s="563"/>
      <c r="AB82" s="563"/>
      <c r="AC82" s="563"/>
      <c r="AD82" s="563"/>
      <c r="AE82" s="563"/>
      <c r="AF82" s="563"/>
      <c r="AG82" s="563"/>
      <c r="AH82" s="563"/>
      <c r="AI82" s="563"/>
      <c r="AJ82" s="563"/>
      <c r="AK82" s="563"/>
      <c r="AL82" s="563"/>
      <c r="AM82" s="563"/>
      <c r="AN82" s="563"/>
      <c r="AO82" s="563"/>
    </row>
    <row r="83" spans="1:41" ht="15">
      <c r="A83" s="7"/>
      <c r="B83" s="139"/>
      <c r="E83" s="163"/>
      <c r="F83" s="163"/>
      <c r="G83" s="163"/>
      <c r="H83" s="163"/>
      <c r="I83" s="163"/>
      <c r="J83" s="163"/>
      <c r="K83" s="163"/>
      <c r="L83" s="139"/>
      <c r="M83" s="163"/>
      <c r="N83" s="163"/>
      <c r="O83" s="163"/>
      <c r="P83" s="163"/>
      <c r="Q83" s="163"/>
      <c r="R83" s="139"/>
      <c r="S83" s="139"/>
      <c r="T83" s="139"/>
      <c r="U83" s="139"/>
      <c r="V83" s="139"/>
      <c r="W83" s="563"/>
      <c r="X83" s="563"/>
      <c r="Y83" s="563"/>
      <c r="Z83" s="563"/>
      <c r="AA83" s="563"/>
      <c r="AB83" s="563"/>
      <c r="AC83" s="563"/>
      <c r="AD83" s="563"/>
      <c r="AE83" s="563"/>
      <c r="AF83" s="563"/>
      <c r="AG83" s="563"/>
      <c r="AH83" s="563"/>
      <c r="AI83" s="563"/>
      <c r="AJ83" s="563"/>
      <c r="AK83" s="563"/>
      <c r="AL83" s="563"/>
      <c r="AM83" s="563"/>
      <c r="AN83" s="563"/>
      <c r="AO83" s="563"/>
    </row>
    <row r="84" spans="1:41" ht="15">
      <c r="A84" s="7"/>
      <c r="B84" s="139"/>
      <c r="E84" s="163"/>
      <c r="F84" s="163"/>
      <c r="G84" s="163"/>
      <c r="H84" s="163"/>
      <c r="I84" s="163"/>
      <c r="J84" s="163"/>
      <c r="K84" s="163"/>
      <c r="L84" s="139"/>
      <c r="M84" s="163"/>
      <c r="N84" s="163"/>
      <c r="O84" s="163"/>
      <c r="P84" s="163"/>
      <c r="Q84" s="163"/>
      <c r="R84" s="139"/>
      <c r="S84" s="139"/>
      <c r="T84" s="139"/>
      <c r="U84" s="139"/>
      <c r="V84" s="139"/>
      <c r="W84" s="563"/>
      <c r="X84" s="563"/>
      <c r="Y84" s="563"/>
      <c r="Z84" s="563"/>
      <c r="AA84" s="563"/>
      <c r="AB84" s="563"/>
      <c r="AC84" s="563"/>
      <c r="AD84" s="563"/>
      <c r="AE84" s="563"/>
      <c r="AF84" s="563"/>
      <c r="AG84" s="563"/>
      <c r="AH84" s="563"/>
      <c r="AI84" s="563"/>
      <c r="AJ84" s="563"/>
      <c r="AK84" s="563"/>
      <c r="AL84" s="563"/>
      <c r="AM84" s="563"/>
      <c r="AN84" s="563"/>
      <c r="AO84" s="563"/>
    </row>
    <row r="85" spans="1:41" ht="15">
      <c r="A85" s="7"/>
      <c r="B85" s="139"/>
      <c r="E85" s="163"/>
      <c r="F85" s="163"/>
      <c r="G85" s="163"/>
      <c r="H85" s="163"/>
      <c r="I85" s="163"/>
      <c r="J85" s="163"/>
      <c r="K85" s="163"/>
      <c r="L85" s="139"/>
      <c r="M85" s="163"/>
      <c r="N85" s="163"/>
      <c r="O85" s="163"/>
      <c r="P85" s="163"/>
      <c r="Q85" s="163"/>
      <c r="R85" s="139"/>
      <c r="S85" s="139"/>
      <c r="T85" s="139"/>
      <c r="U85" s="139"/>
      <c r="V85" s="139"/>
      <c r="W85" s="563"/>
      <c r="X85" s="563"/>
      <c r="Y85" s="563"/>
      <c r="Z85" s="563"/>
      <c r="AA85" s="563"/>
      <c r="AB85" s="563"/>
      <c r="AC85" s="563"/>
      <c r="AD85" s="563"/>
      <c r="AE85" s="563"/>
      <c r="AF85" s="563"/>
      <c r="AG85" s="563"/>
      <c r="AH85" s="563"/>
      <c r="AI85" s="563"/>
      <c r="AJ85" s="563"/>
      <c r="AK85" s="563"/>
      <c r="AL85" s="563"/>
      <c r="AM85" s="563"/>
      <c r="AN85" s="563"/>
      <c r="AO85" s="563"/>
    </row>
    <row r="86" spans="1:41" ht="15">
      <c r="A86" s="7"/>
      <c r="B86" s="139"/>
      <c r="E86" s="163"/>
      <c r="F86" s="163"/>
      <c r="G86" s="163"/>
      <c r="H86" s="163"/>
      <c r="I86" s="163"/>
      <c r="J86" s="163"/>
      <c r="K86" s="163"/>
      <c r="L86" s="139"/>
      <c r="M86" s="163"/>
      <c r="N86" s="163"/>
      <c r="O86" s="163"/>
      <c r="P86" s="163"/>
      <c r="Q86" s="163"/>
      <c r="R86" s="139"/>
      <c r="S86" s="139"/>
      <c r="T86" s="139"/>
      <c r="U86" s="139"/>
      <c r="V86" s="139"/>
      <c r="W86" s="563"/>
      <c r="X86" s="563"/>
      <c r="Y86" s="563"/>
      <c r="Z86" s="563"/>
      <c r="AA86" s="563"/>
      <c r="AB86" s="563"/>
      <c r="AC86" s="563"/>
      <c r="AD86" s="563"/>
      <c r="AE86" s="563"/>
      <c r="AF86" s="563"/>
      <c r="AG86" s="563"/>
      <c r="AH86" s="563"/>
      <c r="AI86" s="563"/>
      <c r="AJ86" s="563"/>
      <c r="AK86" s="563"/>
      <c r="AL86" s="563"/>
      <c r="AM86" s="563"/>
      <c r="AN86" s="563"/>
      <c r="AO86" s="563"/>
    </row>
    <row r="87" spans="1:41" ht="15">
      <c r="A87" s="7"/>
      <c r="B87" s="139"/>
      <c r="E87" s="163"/>
      <c r="F87" s="163"/>
      <c r="G87" s="163"/>
      <c r="H87" s="163"/>
      <c r="I87" s="163"/>
      <c r="J87" s="163"/>
      <c r="K87" s="163"/>
      <c r="L87" s="139"/>
      <c r="M87" s="163"/>
      <c r="N87" s="163"/>
      <c r="O87" s="163"/>
      <c r="P87" s="163"/>
      <c r="Q87" s="163"/>
      <c r="R87" s="139"/>
      <c r="S87" s="139"/>
      <c r="T87" s="139"/>
      <c r="U87" s="139"/>
      <c r="V87" s="139"/>
      <c r="W87" s="563"/>
      <c r="X87" s="563"/>
      <c r="Y87" s="563"/>
      <c r="Z87" s="563"/>
      <c r="AA87" s="563"/>
      <c r="AB87" s="563"/>
      <c r="AC87" s="563"/>
      <c r="AD87" s="563"/>
      <c r="AE87" s="563"/>
      <c r="AF87" s="563"/>
      <c r="AG87" s="563"/>
      <c r="AH87" s="563"/>
      <c r="AI87" s="563"/>
      <c r="AJ87" s="563"/>
      <c r="AK87" s="563"/>
      <c r="AL87" s="563"/>
      <c r="AM87" s="563"/>
      <c r="AN87" s="563"/>
      <c r="AO87" s="563"/>
    </row>
    <row r="88" spans="1:41" ht="15">
      <c r="A88" s="7"/>
      <c r="B88" s="139"/>
      <c r="E88" s="163"/>
      <c r="F88" s="163"/>
      <c r="G88" s="163"/>
      <c r="H88" s="163"/>
      <c r="I88" s="163"/>
      <c r="J88" s="163"/>
      <c r="K88" s="163"/>
      <c r="L88" s="139"/>
      <c r="M88" s="163"/>
      <c r="N88" s="163"/>
      <c r="O88" s="163"/>
      <c r="P88" s="163"/>
      <c r="Q88" s="163"/>
      <c r="R88" s="139"/>
      <c r="S88" s="139"/>
      <c r="T88" s="139"/>
      <c r="U88" s="139"/>
      <c r="V88" s="139"/>
      <c r="W88" s="563"/>
      <c r="X88" s="563"/>
      <c r="Y88" s="563"/>
      <c r="Z88" s="563"/>
      <c r="AA88" s="563"/>
      <c r="AB88" s="563"/>
      <c r="AC88" s="563"/>
      <c r="AD88" s="563"/>
      <c r="AE88" s="563"/>
      <c r="AF88" s="563"/>
      <c r="AG88" s="563"/>
      <c r="AH88" s="563"/>
      <c r="AI88" s="563"/>
      <c r="AJ88" s="563"/>
      <c r="AK88" s="563"/>
      <c r="AL88" s="563"/>
      <c r="AM88" s="563"/>
      <c r="AN88" s="563"/>
      <c r="AO88" s="563"/>
    </row>
    <row r="89" spans="1:41" ht="15">
      <c r="A89" s="7"/>
      <c r="B89" s="139"/>
      <c r="E89" s="163"/>
      <c r="F89" s="163"/>
      <c r="G89" s="163"/>
      <c r="H89" s="163"/>
      <c r="I89" s="163"/>
      <c r="J89" s="163"/>
      <c r="K89" s="163"/>
      <c r="L89" s="139"/>
      <c r="M89" s="163"/>
      <c r="N89" s="163"/>
      <c r="O89" s="163"/>
      <c r="P89" s="163"/>
      <c r="Q89" s="163"/>
      <c r="R89" s="139"/>
      <c r="S89" s="139"/>
      <c r="T89" s="139"/>
      <c r="U89" s="139"/>
      <c r="V89" s="139"/>
      <c r="W89" s="563"/>
      <c r="X89" s="563"/>
      <c r="Y89" s="563"/>
      <c r="Z89" s="563"/>
      <c r="AA89" s="563"/>
      <c r="AB89" s="563"/>
      <c r="AC89" s="563"/>
      <c r="AD89" s="563"/>
      <c r="AE89" s="563"/>
      <c r="AF89" s="563"/>
      <c r="AG89" s="563"/>
      <c r="AH89" s="563"/>
      <c r="AI89" s="563"/>
      <c r="AJ89" s="563"/>
      <c r="AK89" s="563"/>
      <c r="AL89" s="563"/>
      <c r="AM89" s="563"/>
      <c r="AN89" s="563"/>
      <c r="AO89" s="563"/>
    </row>
    <row r="90" spans="1:41" ht="15">
      <c r="A90" s="7"/>
      <c r="B90" s="139"/>
      <c r="E90" s="163"/>
      <c r="F90" s="163"/>
      <c r="G90" s="163"/>
      <c r="H90" s="163"/>
      <c r="I90" s="163"/>
      <c r="J90" s="163"/>
      <c r="K90" s="163"/>
      <c r="L90" s="139"/>
      <c r="M90" s="163"/>
      <c r="N90" s="163"/>
      <c r="O90" s="163"/>
      <c r="P90" s="163"/>
      <c r="Q90" s="163"/>
      <c r="R90" s="139"/>
      <c r="S90" s="139"/>
      <c r="T90" s="139"/>
      <c r="U90" s="139"/>
      <c r="V90" s="139"/>
      <c r="W90" s="563"/>
      <c r="X90" s="563"/>
      <c r="Y90" s="563"/>
      <c r="Z90" s="563"/>
      <c r="AA90" s="563"/>
      <c r="AB90" s="563"/>
      <c r="AC90" s="563"/>
      <c r="AD90" s="563"/>
      <c r="AE90" s="563"/>
      <c r="AF90" s="563"/>
      <c r="AG90" s="563"/>
      <c r="AH90" s="563"/>
      <c r="AI90" s="563"/>
      <c r="AJ90" s="563"/>
      <c r="AK90" s="563"/>
      <c r="AL90" s="563"/>
      <c r="AM90" s="563"/>
      <c r="AN90" s="563"/>
      <c r="AO90" s="563"/>
    </row>
    <row r="91" spans="1:41" ht="15">
      <c r="A91" s="559"/>
      <c r="B91" s="559"/>
      <c r="C91" s="559"/>
      <c r="D91" s="559"/>
      <c r="E91" s="559"/>
      <c r="F91" s="559"/>
      <c r="G91" s="559"/>
      <c r="H91" s="559"/>
      <c r="I91" s="559"/>
      <c r="J91" s="559"/>
      <c r="K91" s="559"/>
      <c r="L91" s="559"/>
      <c r="M91" s="559"/>
      <c r="N91" s="559"/>
      <c r="O91" s="559"/>
      <c r="P91" s="559"/>
      <c r="Q91" s="559"/>
      <c r="R91" s="559"/>
      <c r="S91" s="559"/>
      <c r="T91" s="559"/>
      <c r="U91" s="559"/>
      <c r="V91" s="559"/>
      <c r="W91" s="563"/>
      <c r="X91" s="563"/>
      <c r="Y91" s="563"/>
      <c r="Z91" s="563"/>
      <c r="AA91" s="563"/>
      <c r="AB91" s="563"/>
      <c r="AC91" s="563"/>
      <c r="AD91" s="563"/>
      <c r="AE91" s="563"/>
      <c r="AF91" s="563"/>
      <c r="AG91" s="563"/>
      <c r="AH91" s="563"/>
      <c r="AI91" s="563"/>
      <c r="AJ91" s="563"/>
      <c r="AK91" s="563"/>
      <c r="AL91" s="563"/>
      <c r="AM91" s="563"/>
      <c r="AN91" s="563"/>
      <c r="AO91" s="563"/>
    </row>
    <row r="92" spans="1:41" ht="15">
      <c r="A92" s="559"/>
      <c r="B92" s="559"/>
      <c r="C92" s="559"/>
      <c r="D92" s="559"/>
      <c r="E92" s="559"/>
      <c r="F92" s="559"/>
      <c r="G92" s="559"/>
      <c r="H92" s="559"/>
      <c r="I92" s="559"/>
      <c r="J92" s="559"/>
      <c r="K92" s="559"/>
      <c r="L92" s="559"/>
      <c r="M92" s="559"/>
      <c r="N92" s="559"/>
      <c r="O92" s="559"/>
      <c r="P92" s="559"/>
      <c r="Q92" s="559"/>
      <c r="R92" s="559"/>
      <c r="S92" s="559"/>
      <c r="T92" s="559"/>
      <c r="U92" s="559"/>
      <c r="V92" s="559"/>
      <c r="W92" s="563"/>
      <c r="X92" s="563"/>
      <c r="Y92" s="563"/>
      <c r="Z92" s="563"/>
      <c r="AA92" s="563"/>
      <c r="AB92" s="563"/>
      <c r="AC92" s="563"/>
      <c r="AD92" s="563"/>
      <c r="AE92" s="563"/>
      <c r="AF92" s="563"/>
      <c r="AG92" s="563"/>
      <c r="AH92" s="563"/>
      <c r="AI92" s="563"/>
      <c r="AJ92" s="563"/>
      <c r="AK92" s="563"/>
      <c r="AL92" s="563"/>
      <c r="AM92" s="563"/>
      <c r="AN92" s="563"/>
      <c r="AO92" s="563"/>
    </row>
    <row r="93" spans="1:41" ht="15">
      <c r="A93" s="559"/>
      <c r="B93" s="559"/>
      <c r="C93" s="559"/>
      <c r="D93" s="559"/>
      <c r="E93" s="559"/>
      <c r="F93" s="559"/>
      <c r="G93" s="559"/>
      <c r="H93" s="559"/>
      <c r="I93" s="559"/>
      <c r="J93" s="559"/>
      <c r="K93" s="559"/>
      <c r="L93" s="559"/>
      <c r="M93" s="559"/>
      <c r="N93" s="559"/>
      <c r="O93" s="559"/>
      <c r="P93" s="559"/>
      <c r="Q93" s="559"/>
      <c r="R93" s="559"/>
      <c r="S93" s="559"/>
      <c r="T93" s="559"/>
      <c r="U93" s="559"/>
      <c r="V93" s="559"/>
      <c r="W93" s="563"/>
      <c r="X93" s="563"/>
      <c r="Y93" s="563"/>
      <c r="Z93" s="563"/>
      <c r="AA93" s="563"/>
      <c r="AB93" s="563"/>
      <c r="AC93" s="563"/>
      <c r="AD93" s="563"/>
      <c r="AE93" s="563"/>
      <c r="AF93" s="563"/>
      <c r="AG93" s="563"/>
      <c r="AH93" s="563"/>
      <c r="AI93" s="563"/>
      <c r="AJ93" s="563"/>
      <c r="AK93" s="563"/>
      <c r="AL93" s="563"/>
      <c r="AM93" s="563"/>
      <c r="AN93" s="563"/>
      <c r="AO93" s="563"/>
    </row>
    <row r="94" spans="1:22" ht="15">
      <c r="A94" s="559"/>
      <c r="B94" s="559"/>
      <c r="C94" s="559"/>
      <c r="D94" s="559"/>
      <c r="E94" s="559"/>
      <c r="F94" s="559"/>
      <c r="G94" s="559"/>
      <c r="H94" s="559"/>
      <c r="I94" s="559"/>
      <c r="J94" s="559"/>
      <c r="K94" s="559"/>
      <c r="L94" s="559"/>
      <c r="M94" s="559"/>
      <c r="N94" s="559"/>
      <c r="O94" s="559"/>
      <c r="P94" s="559"/>
      <c r="Q94" s="559"/>
      <c r="R94" s="559"/>
      <c r="S94" s="559"/>
      <c r="T94" s="559"/>
      <c r="U94" s="559"/>
      <c r="V94" s="559"/>
    </row>
    <row r="95" spans="1:22" ht="15">
      <c r="A95" s="559"/>
      <c r="B95" s="559"/>
      <c r="C95" s="559"/>
      <c r="D95" s="559"/>
      <c r="E95" s="559"/>
      <c r="F95" s="559"/>
      <c r="G95" s="559"/>
      <c r="H95" s="559"/>
      <c r="I95" s="559"/>
      <c r="J95" s="559"/>
      <c r="K95" s="559"/>
      <c r="L95" s="559"/>
      <c r="M95" s="559"/>
      <c r="N95" s="559"/>
      <c r="O95" s="559"/>
      <c r="P95" s="559"/>
      <c r="Q95" s="559"/>
      <c r="R95" s="559"/>
      <c r="S95" s="559"/>
      <c r="T95" s="559"/>
      <c r="U95" s="559"/>
      <c r="V95" s="559"/>
    </row>
    <row r="96" spans="1:22" ht="15">
      <c r="A96" s="559"/>
      <c r="B96" s="559"/>
      <c r="C96" s="559"/>
      <c r="D96" s="559"/>
      <c r="E96" s="559"/>
      <c r="F96" s="559"/>
      <c r="G96" s="559"/>
      <c r="H96" s="559"/>
      <c r="I96" s="559"/>
      <c r="J96" s="559"/>
      <c r="K96" s="559"/>
      <c r="L96" s="559"/>
      <c r="M96" s="559"/>
      <c r="N96" s="559"/>
      <c r="O96" s="559"/>
      <c r="P96" s="559"/>
      <c r="Q96" s="559"/>
      <c r="R96" s="559"/>
      <c r="S96" s="559"/>
      <c r="T96" s="559"/>
      <c r="U96" s="559"/>
      <c r="V96" s="559"/>
    </row>
    <row r="97" spans="1:22" ht="15">
      <c r="A97" s="559"/>
      <c r="B97" s="559"/>
      <c r="C97" s="559"/>
      <c r="D97" s="559"/>
      <c r="E97" s="559"/>
      <c r="F97" s="559"/>
      <c r="G97" s="559"/>
      <c r="H97" s="559"/>
      <c r="I97" s="559"/>
      <c r="J97" s="559"/>
      <c r="K97" s="559"/>
      <c r="L97" s="559"/>
      <c r="M97" s="559"/>
      <c r="N97" s="559"/>
      <c r="O97" s="559"/>
      <c r="P97" s="559"/>
      <c r="Q97" s="559"/>
      <c r="R97" s="559"/>
      <c r="S97" s="559"/>
      <c r="T97" s="559"/>
      <c r="U97" s="559"/>
      <c r="V97" s="559"/>
    </row>
    <row r="98" spans="1:22" ht="12.75" customHeight="1">
      <c r="A98" s="559"/>
      <c r="B98" s="559"/>
      <c r="C98" s="559"/>
      <c r="D98" s="559"/>
      <c r="E98" s="559"/>
      <c r="F98" s="559"/>
      <c r="G98" s="559"/>
      <c r="H98" s="559"/>
      <c r="I98" s="559"/>
      <c r="J98" s="559"/>
      <c r="K98" s="559"/>
      <c r="L98" s="559"/>
      <c r="M98" s="559"/>
      <c r="N98" s="559"/>
      <c r="O98" s="559"/>
      <c r="P98" s="559"/>
      <c r="Q98" s="559"/>
      <c r="R98" s="559"/>
      <c r="S98" s="559"/>
      <c r="T98" s="559"/>
      <c r="U98" s="559"/>
      <c r="V98" s="559"/>
    </row>
    <row r="99" spans="1:22" ht="12.75" customHeight="1">
      <c r="A99" s="559"/>
      <c r="B99" s="559"/>
      <c r="C99" s="559"/>
      <c r="D99" s="559"/>
      <c r="E99" s="559"/>
      <c r="F99" s="559"/>
      <c r="G99" s="559"/>
      <c r="H99" s="559"/>
      <c r="I99" s="559"/>
      <c r="J99" s="559"/>
      <c r="K99" s="559"/>
      <c r="L99" s="559"/>
      <c r="M99" s="559"/>
      <c r="N99" s="559"/>
      <c r="O99" s="559"/>
      <c r="P99" s="559"/>
      <c r="Q99" s="559"/>
      <c r="R99" s="559"/>
      <c r="S99" s="559"/>
      <c r="T99" s="559"/>
      <c r="U99" s="559"/>
      <c r="V99" s="559"/>
    </row>
    <row r="100" spans="1:22" ht="12.75" customHeight="1">
      <c r="A100" s="559"/>
      <c r="B100" s="559"/>
      <c r="C100" s="559"/>
      <c r="D100" s="559"/>
      <c r="E100" s="559"/>
      <c r="F100" s="559"/>
      <c r="G100" s="559"/>
      <c r="H100" s="559"/>
      <c r="I100" s="559"/>
      <c r="J100" s="559"/>
      <c r="K100" s="559"/>
      <c r="L100" s="559"/>
      <c r="M100" s="559"/>
      <c r="N100" s="559"/>
      <c r="O100" s="559"/>
      <c r="P100" s="559"/>
      <c r="Q100" s="559"/>
      <c r="R100" s="559"/>
      <c r="S100" s="559"/>
      <c r="T100" s="559"/>
      <c r="U100" s="559"/>
      <c r="V100" s="559"/>
    </row>
    <row r="101" spans="1:22" ht="12.75" customHeight="1">
      <c r="A101" s="559"/>
      <c r="B101" s="559"/>
      <c r="C101" s="559"/>
      <c r="D101" s="559"/>
      <c r="E101" s="559"/>
      <c r="F101" s="559"/>
      <c r="G101" s="559"/>
      <c r="H101" s="559"/>
      <c r="I101" s="559"/>
      <c r="J101" s="559"/>
      <c r="K101" s="559"/>
      <c r="L101" s="559"/>
      <c r="M101" s="559"/>
      <c r="N101" s="559"/>
      <c r="O101" s="559"/>
      <c r="P101" s="559"/>
      <c r="Q101" s="559"/>
      <c r="R101" s="559"/>
      <c r="S101" s="559"/>
      <c r="T101" s="559"/>
      <c r="U101" s="559"/>
      <c r="V101" s="559"/>
    </row>
    <row r="102" spans="1:22" ht="12.75" customHeight="1">
      <c r="A102" s="559"/>
      <c r="B102" s="559"/>
      <c r="C102" s="559"/>
      <c r="D102" s="559"/>
      <c r="E102" s="559"/>
      <c r="F102" s="559"/>
      <c r="G102" s="559"/>
      <c r="H102" s="559"/>
      <c r="I102" s="559"/>
      <c r="J102" s="559"/>
      <c r="K102" s="559"/>
      <c r="L102" s="559"/>
      <c r="M102" s="559"/>
      <c r="N102" s="559"/>
      <c r="O102" s="559"/>
      <c r="P102" s="559"/>
      <c r="Q102" s="559"/>
      <c r="R102" s="559"/>
      <c r="S102" s="559"/>
      <c r="T102" s="559"/>
      <c r="U102" s="559"/>
      <c r="V102" s="559"/>
    </row>
    <row r="103" spans="1:22" ht="12.75" customHeight="1">
      <c r="A103" s="559"/>
      <c r="B103" s="559"/>
      <c r="C103" s="559"/>
      <c r="D103" s="559"/>
      <c r="E103" s="559"/>
      <c r="F103" s="559"/>
      <c r="G103" s="559"/>
      <c r="H103" s="559"/>
      <c r="I103" s="559"/>
      <c r="J103" s="559"/>
      <c r="K103" s="559"/>
      <c r="L103" s="559"/>
      <c r="M103" s="559"/>
      <c r="N103" s="559"/>
      <c r="O103" s="559"/>
      <c r="P103" s="559"/>
      <c r="Q103" s="559"/>
      <c r="R103" s="559"/>
      <c r="S103" s="559"/>
      <c r="T103" s="559"/>
      <c r="U103" s="559"/>
      <c r="V103" s="559"/>
    </row>
    <row r="104" spans="1:22" ht="12.75" customHeight="1">
      <c r="A104" s="559"/>
      <c r="B104" s="559"/>
      <c r="C104" s="559"/>
      <c r="D104" s="559"/>
      <c r="E104" s="559"/>
      <c r="F104" s="559"/>
      <c r="G104" s="559"/>
      <c r="H104" s="559"/>
      <c r="I104" s="559"/>
      <c r="J104" s="559"/>
      <c r="K104" s="559"/>
      <c r="L104" s="559"/>
      <c r="M104" s="559"/>
      <c r="N104" s="559"/>
      <c r="O104" s="559"/>
      <c r="P104" s="559"/>
      <c r="Q104" s="559"/>
      <c r="R104" s="559"/>
      <c r="S104" s="559"/>
      <c r="T104" s="559"/>
      <c r="U104" s="559"/>
      <c r="V104" s="559"/>
    </row>
    <row r="105" spans="1:22" ht="12.75" customHeight="1">
      <c r="A105" s="559"/>
      <c r="B105" s="559"/>
      <c r="C105" s="559"/>
      <c r="D105" s="559"/>
      <c r="E105" s="559"/>
      <c r="F105" s="559"/>
      <c r="G105" s="559"/>
      <c r="H105" s="559"/>
      <c r="I105" s="559"/>
      <c r="J105" s="559"/>
      <c r="K105" s="559"/>
      <c r="L105" s="559"/>
      <c r="M105" s="559"/>
      <c r="N105" s="559"/>
      <c r="O105" s="559"/>
      <c r="P105" s="559"/>
      <c r="Q105" s="559"/>
      <c r="R105" s="559"/>
      <c r="S105" s="559"/>
      <c r="T105" s="559"/>
      <c r="U105" s="559"/>
      <c r="V105" s="559"/>
    </row>
    <row r="106" spans="1:22" ht="12.75" customHeight="1">
      <c r="A106" s="559"/>
      <c r="B106" s="559"/>
      <c r="C106" s="559"/>
      <c r="D106" s="559"/>
      <c r="E106" s="559"/>
      <c r="F106" s="559"/>
      <c r="G106" s="559"/>
      <c r="H106" s="559"/>
      <c r="I106" s="559"/>
      <c r="J106" s="559"/>
      <c r="K106" s="559"/>
      <c r="L106" s="559"/>
      <c r="M106" s="559"/>
      <c r="N106" s="559"/>
      <c r="O106" s="559"/>
      <c r="P106" s="559"/>
      <c r="Q106" s="559"/>
      <c r="R106" s="559"/>
      <c r="S106" s="559"/>
      <c r="T106" s="559"/>
      <c r="U106" s="559"/>
      <c r="V106" s="559"/>
    </row>
    <row r="107" spans="1:22" ht="12.75" customHeight="1">
      <c r="A107" s="559"/>
      <c r="B107" s="559"/>
      <c r="C107" s="559"/>
      <c r="D107" s="559"/>
      <c r="E107" s="559"/>
      <c r="F107" s="559"/>
      <c r="G107" s="559"/>
      <c r="H107" s="559"/>
      <c r="I107" s="559"/>
      <c r="J107" s="559"/>
      <c r="K107" s="559"/>
      <c r="L107" s="559"/>
      <c r="M107" s="559"/>
      <c r="N107" s="559"/>
      <c r="O107" s="559"/>
      <c r="P107" s="559"/>
      <c r="Q107" s="559"/>
      <c r="R107" s="559"/>
      <c r="S107" s="559"/>
      <c r="T107" s="559"/>
      <c r="U107" s="559"/>
      <c r="V107" s="559"/>
    </row>
    <row r="108" spans="1:22" ht="12.75" customHeight="1">
      <c r="A108" s="559"/>
      <c r="B108" s="559"/>
      <c r="C108" s="559"/>
      <c r="D108" s="559"/>
      <c r="E108" s="559"/>
      <c r="F108" s="559"/>
      <c r="G108" s="559"/>
      <c r="H108" s="559"/>
      <c r="I108" s="559"/>
      <c r="J108" s="559"/>
      <c r="K108" s="559"/>
      <c r="L108" s="559"/>
      <c r="M108" s="559"/>
      <c r="N108" s="559"/>
      <c r="O108" s="559"/>
      <c r="P108" s="559"/>
      <c r="Q108" s="559"/>
      <c r="R108" s="559"/>
      <c r="S108" s="559"/>
      <c r="T108" s="559"/>
      <c r="U108" s="559"/>
      <c r="V108" s="559"/>
    </row>
    <row r="109" spans="1:22" ht="15">
      <c r="A109" s="559"/>
      <c r="B109" s="559"/>
      <c r="C109" s="559"/>
      <c r="D109" s="559"/>
      <c r="E109" s="559"/>
      <c r="F109" s="559"/>
      <c r="G109" s="559"/>
      <c r="H109" s="559"/>
      <c r="I109" s="559"/>
      <c r="J109" s="559"/>
      <c r="K109" s="559"/>
      <c r="L109" s="559"/>
      <c r="M109" s="559"/>
      <c r="N109" s="559"/>
      <c r="O109" s="559"/>
      <c r="P109" s="559"/>
      <c r="Q109" s="559"/>
      <c r="R109" s="559"/>
      <c r="S109" s="559"/>
      <c r="T109" s="559"/>
      <c r="U109" s="559"/>
      <c r="V109" s="559"/>
    </row>
    <row r="110" spans="1:22" ht="15">
      <c r="A110" s="559"/>
      <c r="B110" s="559"/>
      <c r="C110" s="559"/>
      <c r="D110" s="559"/>
      <c r="E110" s="559"/>
      <c r="F110" s="559"/>
      <c r="G110" s="559"/>
      <c r="H110" s="559"/>
      <c r="I110" s="559"/>
      <c r="J110" s="559"/>
      <c r="K110" s="559"/>
      <c r="L110" s="559"/>
      <c r="M110" s="559"/>
      <c r="N110" s="559"/>
      <c r="O110" s="559"/>
      <c r="P110" s="559"/>
      <c r="Q110" s="559"/>
      <c r="R110" s="559"/>
      <c r="S110" s="559"/>
      <c r="T110" s="559"/>
      <c r="U110" s="559"/>
      <c r="V110" s="559"/>
    </row>
    <row r="111" spans="1:22" ht="15">
      <c r="A111" s="559"/>
      <c r="B111" s="559"/>
      <c r="C111" s="559"/>
      <c r="D111" s="559"/>
      <c r="E111" s="559"/>
      <c r="F111" s="559"/>
      <c r="G111" s="559"/>
      <c r="H111" s="559"/>
      <c r="I111" s="559"/>
      <c r="J111" s="559"/>
      <c r="K111" s="559"/>
      <c r="L111" s="559"/>
      <c r="M111" s="559"/>
      <c r="N111" s="559"/>
      <c r="O111" s="559"/>
      <c r="P111" s="559"/>
      <c r="Q111" s="559"/>
      <c r="R111" s="559"/>
      <c r="S111" s="559"/>
      <c r="T111" s="559"/>
      <c r="U111" s="559"/>
      <c r="V111" s="559"/>
    </row>
    <row r="112" spans="1:22" ht="15">
      <c r="A112" s="559"/>
      <c r="B112" s="559"/>
      <c r="C112" s="559"/>
      <c r="D112" s="559"/>
      <c r="E112" s="559"/>
      <c r="F112" s="559"/>
      <c r="G112" s="559"/>
      <c r="H112" s="559"/>
      <c r="I112" s="559"/>
      <c r="J112" s="559"/>
      <c r="K112" s="559"/>
      <c r="L112" s="559"/>
      <c r="M112" s="559"/>
      <c r="N112" s="559"/>
      <c r="O112" s="559"/>
      <c r="P112" s="559"/>
      <c r="Q112" s="559"/>
      <c r="R112" s="559"/>
      <c r="S112" s="559"/>
      <c r="T112" s="559"/>
      <c r="U112" s="559"/>
      <c r="V112" s="559"/>
    </row>
    <row r="113" spans="1:22" ht="15">
      <c r="A113" s="559"/>
      <c r="B113" s="559"/>
      <c r="C113" s="559"/>
      <c r="D113" s="559"/>
      <c r="E113" s="559"/>
      <c r="F113" s="559"/>
      <c r="G113" s="559"/>
      <c r="H113" s="559"/>
      <c r="I113" s="559"/>
      <c r="J113" s="559"/>
      <c r="K113" s="559"/>
      <c r="L113" s="559"/>
      <c r="M113" s="559"/>
      <c r="N113" s="559"/>
      <c r="O113" s="559"/>
      <c r="P113" s="559"/>
      <c r="Q113" s="559"/>
      <c r="R113" s="559"/>
      <c r="S113" s="559"/>
      <c r="T113" s="559"/>
      <c r="U113" s="559"/>
      <c r="V113" s="559"/>
    </row>
    <row r="114" spans="1:22" ht="15">
      <c r="A114" s="559"/>
      <c r="B114" s="559"/>
      <c r="C114" s="559"/>
      <c r="D114" s="559"/>
      <c r="E114" s="559"/>
      <c r="F114" s="559"/>
      <c r="G114" s="559"/>
      <c r="H114" s="559"/>
      <c r="I114" s="559"/>
      <c r="J114" s="559"/>
      <c r="K114" s="559"/>
      <c r="L114" s="559"/>
      <c r="M114" s="559"/>
      <c r="N114" s="559"/>
      <c r="O114" s="559"/>
      <c r="P114" s="559"/>
      <c r="Q114" s="559"/>
      <c r="R114" s="559"/>
      <c r="S114" s="559"/>
      <c r="T114" s="559"/>
      <c r="U114" s="559"/>
      <c r="V114" s="559"/>
    </row>
    <row r="115" spans="1:22" ht="15">
      <c r="A115" s="559"/>
      <c r="B115" s="559"/>
      <c r="C115" s="559"/>
      <c r="D115" s="559"/>
      <c r="E115" s="559"/>
      <c r="F115" s="559"/>
      <c r="G115" s="559"/>
      <c r="H115" s="559"/>
      <c r="I115" s="559"/>
      <c r="J115" s="559"/>
      <c r="K115" s="559"/>
      <c r="L115" s="559"/>
      <c r="M115" s="559"/>
      <c r="N115" s="559"/>
      <c r="O115" s="559"/>
      <c r="P115" s="559"/>
      <c r="Q115" s="559"/>
      <c r="R115" s="559"/>
      <c r="S115" s="559"/>
      <c r="T115" s="559"/>
      <c r="U115" s="559"/>
      <c r="V115" s="559"/>
    </row>
    <row r="116" spans="1:22" ht="15">
      <c r="A116" s="559"/>
      <c r="B116" s="559"/>
      <c r="C116" s="559"/>
      <c r="D116" s="559"/>
      <c r="E116" s="559"/>
      <c r="F116" s="559"/>
      <c r="G116" s="559"/>
      <c r="H116" s="559"/>
      <c r="I116" s="559"/>
      <c r="J116" s="559"/>
      <c r="K116" s="559"/>
      <c r="L116" s="559"/>
      <c r="M116" s="559"/>
      <c r="N116" s="559"/>
      <c r="O116" s="559"/>
      <c r="P116" s="559"/>
      <c r="Q116" s="559"/>
      <c r="R116" s="559"/>
      <c r="S116" s="559"/>
      <c r="T116" s="559"/>
      <c r="U116" s="559"/>
      <c r="V116" s="559"/>
    </row>
    <row r="117" spans="1:22" ht="15">
      <c r="A117" s="559"/>
      <c r="B117" s="559"/>
      <c r="C117" s="559"/>
      <c r="D117" s="559"/>
      <c r="E117" s="559"/>
      <c r="F117" s="559"/>
      <c r="G117" s="559"/>
      <c r="H117" s="559"/>
      <c r="I117" s="559"/>
      <c r="J117" s="559"/>
      <c r="K117" s="559"/>
      <c r="L117" s="559"/>
      <c r="M117" s="559"/>
      <c r="N117" s="559"/>
      <c r="O117" s="559"/>
      <c r="P117" s="559"/>
      <c r="Q117" s="559"/>
      <c r="R117" s="559"/>
      <c r="S117" s="559"/>
      <c r="T117" s="559"/>
      <c r="U117" s="559"/>
      <c r="V117" s="559"/>
    </row>
    <row r="118" spans="1:22" ht="15">
      <c r="A118" s="559"/>
      <c r="B118" s="559"/>
      <c r="C118" s="559"/>
      <c r="D118" s="559"/>
      <c r="E118" s="559"/>
      <c r="F118" s="559"/>
      <c r="G118" s="559"/>
      <c r="H118" s="559"/>
      <c r="I118" s="559"/>
      <c r="J118" s="559"/>
      <c r="K118" s="559"/>
      <c r="L118" s="559"/>
      <c r="M118" s="559"/>
      <c r="N118" s="559"/>
      <c r="O118" s="559"/>
      <c r="P118" s="559"/>
      <c r="Q118" s="559"/>
      <c r="R118" s="559"/>
      <c r="S118" s="559"/>
      <c r="T118" s="559"/>
      <c r="U118" s="559"/>
      <c r="V118" s="559"/>
    </row>
    <row r="119" spans="1:22" ht="15">
      <c r="A119" s="559"/>
      <c r="B119" s="559"/>
      <c r="C119" s="559"/>
      <c r="D119" s="559"/>
      <c r="E119" s="559"/>
      <c r="F119" s="559"/>
      <c r="G119" s="559"/>
      <c r="H119" s="559"/>
      <c r="I119" s="559"/>
      <c r="J119" s="559"/>
      <c r="K119" s="559"/>
      <c r="L119" s="559"/>
      <c r="M119" s="559"/>
      <c r="N119" s="559"/>
      <c r="O119" s="559"/>
      <c r="P119" s="559"/>
      <c r="Q119" s="559"/>
      <c r="R119" s="559"/>
      <c r="S119" s="559"/>
      <c r="T119" s="559"/>
      <c r="U119" s="559"/>
      <c r="V119" s="559"/>
    </row>
    <row r="120" spans="1:22" ht="15">
      <c r="A120" s="559"/>
      <c r="B120" s="559"/>
      <c r="C120" s="559"/>
      <c r="D120" s="559"/>
      <c r="E120" s="559"/>
      <c r="F120" s="559"/>
      <c r="G120" s="559"/>
      <c r="H120" s="559"/>
      <c r="I120" s="559"/>
      <c r="J120" s="559"/>
      <c r="K120" s="559"/>
      <c r="L120" s="559"/>
      <c r="M120" s="559"/>
      <c r="N120" s="559"/>
      <c r="O120" s="559"/>
      <c r="P120" s="559"/>
      <c r="Q120" s="559"/>
      <c r="R120" s="559"/>
      <c r="S120" s="559"/>
      <c r="T120" s="559"/>
      <c r="U120" s="559"/>
      <c r="V120" s="559"/>
    </row>
    <row r="121" spans="1:22" ht="15">
      <c r="A121" s="559"/>
      <c r="B121" s="559"/>
      <c r="C121" s="559"/>
      <c r="D121" s="559"/>
      <c r="E121" s="559"/>
      <c r="F121" s="559"/>
      <c r="G121" s="559"/>
      <c r="H121" s="559"/>
      <c r="I121" s="559"/>
      <c r="J121" s="559"/>
      <c r="K121" s="559"/>
      <c r="L121" s="559"/>
      <c r="M121" s="559"/>
      <c r="N121" s="559"/>
      <c r="O121" s="559"/>
      <c r="P121" s="559"/>
      <c r="Q121" s="559"/>
      <c r="R121" s="559"/>
      <c r="S121" s="559"/>
      <c r="T121" s="559"/>
      <c r="U121" s="559"/>
      <c r="V121" s="559"/>
    </row>
    <row r="122" spans="1:22" ht="15">
      <c r="A122" s="559"/>
      <c r="B122" s="559"/>
      <c r="C122" s="559"/>
      <c r="D122" s="559"/>
      <c r="E122" s="559"/>
      <c r="F122" s="559"/>
      <c r="G122" s="559"/>
      <c r="H122" s="559"/>
      <c r="I122" s="559"/>
      <c r="J122" s="559"/>
      <c r="K122" s="559"/>
      <c r="L122" s="559"/>
      <c r="M122" s="559"/>
      <c r="N122" s="559"/>
      <c r="O122" s="559"/>
      <c r="P122" s="559"/>
      <c r="Q122" s="559"/>
      <c r="R122" s="559"/>
      <c r="S122" s="559"/>
      <c r="T122" s="559"/>
      <c r="U122" s="559"/>
      <c r="V122" s="559"/>
    </row>
    <row r="123" spans="1:22" ht="15">
      <c r="A123" s="559"/>
      <c r="B123" s="559"/>
      <c r="C123" s="559"/>
      <c r="D123" s="559"/>
      <c r="E123" s="559"/>
      <c r="F123" s="559"/>
      <c r="G123" s="559"/>
      <c r="H123" s="559"/>
      <c r="I123" s="559"/>
      <c r="J123" s="559"/>
      <c r="K123" s="559"/>
      <c r="L123" s="559"/>
      <c r="M123" s="559"/>
      <c r="N123" s="559"/>
      <c r="O123" s="559"/>
      <c r="P123" s="559"/>
      <c r="Q123" s="559"/>
      <c r="R123" s="559"/>
      <c r="S123" s="559"/>
      <c r="T123" s="559"/>
      <c r="U123" s="559"/>
      <c r="V123" s="559"/>
    </row>
    <row r="124" spans="1:22" ht="15">
      <c r="A124" s="559"/>
      <c r="B124" s="559"/>
      <c r="C124" s="559"/>
      <c r="D124" s="559"/>
      <c r="E124" s="559"/>
      <c r="F124" s="559"/>
      <c r="G124" s="559"/>
      <c r="H124" s="559"/>
      <c r="I124" s="559"/>
      <c r="J124" s="559"/>
      <c r="K124" s="559"/>
      <c r="L124" s="559"/>
      <c r="M124" s="559"/>
      <c r="N124" s="559"/>
      <c r="O124" s="559"/>
      <c r="P124" s="559"/>
      <c r="Q124" s="559"/>
      <c r="R124" s="559"/>
      <c r="S124" s="559"/>
      <c r="T124" s="559"/>
      <c r="U124" s="559"/>
      <c r="V124" s="559"/>
    </row>
    <row r="125" spans="1:22" ht="15">
      <c r="A125" s="559"/>
      <c r="B125" s="559"/>
      <c r="C125" s="559"/>
      <c r="D125" s="559"/>
      <c r="E125" s="559"/>
      <c r="F125" s="559"/>
      <c r="G125" s="559"/>
      <c r="H125" s="559"/>
      <c r="I125" s="559"/>
      <c r="J125" s="559"/>
      <c r="K125" s="559"/>
      <c r="L125" s="559"/>
      <c r="M125" s="559"/>
      <c r="N125" s="559"/>
      <c r="O125" s="559"/>
      <c r="P125" s="559"/>
      <c r="Q125" s="559"/>
      <c r="R125" s="559"/>
      <c r="S125" s="559"/>
      <c r="T125" s="559"/>
      <c r="U125" s="559"/>
      <c r="V125" s="559"/>
    </row>
    <row r="126" spans="1:22" ht="15">
      <c r="A126" s="559"/>
      <c r="B126" s="559"/>
      <c r="C126" s="559"/>
      <c r="D126" s="559"/>
      <c r="E126" s="559"/>
      <c r="F126" s="559"/>
      <c r="G126" s="559"/>
      <c r="H126" s="559"/>
      <c r="I126" s="559"/>
      <c r="J126" s="559"/>
      <c r="K126" s="559"/>
      <c r="L126" s="559"/>
      <c r="M126" s="559"/>
      <c r="N126" s="559"/>
      <c r="O126" s="559"/>
      <c r="P126" s="559"/>
      <c r="Q126" s="559"/>
      <c r="R126" s="559"/>
      <c r="S126" s="559"/>
      <c r="T126" s="559"/>
      <c r="U126" s="559"/>
      <c r="V126" s="559"/>
    </row>
    <row r="127" spans="1:22" ht="15">
      <c r="A127" s="559"/>
      <c r="B127" s="559"/>
      <c r="C127" s="559"/>
      <c r="D127" s="559"/>
      <c r="E127" s="559"/>
      <c r="F127" s="559"/>
      <c r="G127" s="559"/>
      <c r="H127" s="559"/>
      <c r="I127" s="559"/>
      <c r="J127" s="559"/>
      <c r="K127" s="559"/>
      <c r="L127" s="559"/>
      <c r="M127" s="559"/>
      <c r="N127" s="559"/>
      <c r="O127" s="559"/>
      <c r="P127" s="559"/>
      <c r="Q127" s="559"/>
      <c r="R127" s="559"/>
      <c r="S127" s="559"/>
      <c r="T127" s="559"/>
      <c r="U127" s="559"/>
      <c r="V127" s="559"/>
    </row>
    <row r="128" spans="1:22" ht="15">
      <c r="A128" s="559"/>
      <c r="B128" s="559"/>
      <c r="C128" s="559"/>
      <c r="D128" s="559"/>
      <c r="E128" s="559"/>
      <c r="F128" s="559"/>
      <c r="G128" s="559"/>
      <c r="H128" s="559"/>
      <c r="I128" s="559"/>
      <c r="J128" s="559"/>
      <c r="K128" s="559"/>
      <c r="L128" s="559"/>
      <c r="M128" s="559"/>
      <c r="N128" s="559"/>
      <c r="O128" s="559"/>
      <c r="P128" s="559"/>
      <c r="Q128" s="559"/>
      <c r="R128" s="559"/>
      <c r="S128" s="559"/>
      <c r="T128" s="559"/>
      <c r="U128" s="559"/>
      <c r="V128" s="559"/>
    </row>
    <row r="129" spans="1:22" ht="12.75" customHeight="1">
      <c r="A129" s="559"/>
      <c r="B129" s="559"/>
      <c r="C129" s="559"/>
      <c r="D129" s="559"/>
      <c r="E129" s="559"/>
      <c r="F129" s="559"/>
      <c r="G129" s="559"/>
      <c r="H129" s="559"/>
      <c r="I129" s="559"/>
      <c r="J129" s="559"/>
      <c r="K129" s="559"/>
      <c r="L129" s="559"/>
      <c r="M129" s="559"/>
      <c r="N129" s="559"/>
      <c r="O129" s="559"/>
      <c r="P129" s="559"/>
      <c r="Q129" s="559"/>
      <c r="R129" s="559"/>
      <c r="S129" s="559"/>
      <c r="T129" s="559"/>
      <c r="U129" s="559"/>
      <c r="V129" s="559"/>
    </row>
    <row r="130" spans="1:22" ht="12.75" customHeight="1">
      <c r="A130" s="559"/>
      <c r="B130" s="559"/>
      <c r="C130" s="559"/>
      <c r="D130" s="559"/>
      <c r="E130" s="559"/>
      <c r="F130" s="559"/>
      <c r="G130" s="559"/>
      <c r="H130" s="559"/>
      <c r="I130" s="559"/>
      <c r="J130" s="559"/>
      <c r="K130" s="559"/>
      <c r="L130" s="559"/>
      <c r="M130" s="559"/>
      <c r="N130" s="559"/>
      <c r="O130" s="559"/>
      <c r="P130" s="559"/>
      <c r="Q130" s="559"/>
      <c r="R130" s="559"/>
      <c r="S130" s="559"/>
      <c r="T130" s="559"/>
      <c r="U130" s="559"/>
      <c r="V130" s="559"/>
    </row>
    <row r="131" spans="1:22" ht="12.75" customHeight="1">
      <c r="A131" s="559"/>
      <c r="B131" s="559"/>
      <c r="C131" s="559"/>
      <c r="D131" s="559"/>
      <c r="E131" s="559"/>
      <c r="F131" s="559"/>
      <c r="G131" s="559"/>
      <c r="H131" s="559"/>
      <c r="I131" s="559"/>
      <c r="J131" s="559"/>
      <c r="K131" s="559"/>
      <c r="L131" s="559"/>
      <c r="M131" s="559"/>
      <c r="N131" s="559"/>
      <c r="O131" s="559"/>
      <c r="P131" s="559"/>
      <c r="Q131" s="559"/>
      <c r="R131" s="559"/>
      <c r="S131" s="559"/>
      <c r="T131" s="559"/>
      <c r="U131" s="559"/>
      <c r="V131" s="559"/>
    </row>
    <row r="132" spans="1:22" ht="15">
      <c r="A132" s="559"/>
      <c r="B132" s="559"/>
      <c r="C132" s="559"/>
      <c r="D132" s="559"/>
      <c r="E132" s="559"/>
      <c r="F132" s="559"/>
      <c r="G132" s="559"/>
      <c r="H132" s="559"/>
      <c r="I132" s="559"/>
      <c r="J132" s="559"/>
      <c r="K132" s="559"/>
      <c r="L132" s="559"/>
      <c r="M132" s="559"/>
      <c r="N132" s="559"/>
      <c r="O132" s="559"/>
      <c r="P132" s="559"/>
      <c r="Q132" s="559"/>
      <c r="R132" s="559"/>
      <c r="S132" s="559"/>
      <c r="T132" s="559"/>
      <c r="U132" s="559"/>
      <c r="V132" s="559"/>
    </row>
    <row r="133" spans="1:22" ht="15">
      <c r="A133" s="559"/>
      <c r="B133" s="559"/>
      <c r="C133" s="559"/>
      <c r="D133" s="559"/>
      <c r="E133" s="559"/>
      <c r="F133" s="559"/>
      <c r="G133" s="559"/>
      <c r="H133" s="559"/>
      <c r="I133" s="559"/>
      <c r="J133" s="559"/>
      <c r="K133" s="559"/>
      <c r="L133" s="559"/>
      <c r="M133" s="559"/>
      <c r="N133" s="559"/>
      <c r="O133" s="559"/>
      <c r="P133" s="559"/>
      <c r="Q133" s="559"/>
      <c r="R133" s="559"/>
      <c r="S133" s="559"/>
      <c r="T133" s="559"/>
      <c r="U133" s="559"/>
      <c r="V133" s="559"/>
    </row>
    <row r="134" spans="1:22" ht="15">
      <c r="A134" s="559"/>
      <c r="B134" s="559"/>
      <c r="C134" s="559"/>
      <c r="D134" s="559"/>
      <c r="E134" s="559"/>
      <c r="F134" s="559"/>
      <c r="G134" s="559"/>
      <c r="H134" s="559"/>
      <c r="I134" s="559"/>
      <c r="J134" s="559"/>
      <c r="K134" s="559"/>
      <c r="L134" s="559"/>
      <c r="M134" s="559"/>
      <c r="N134" s="559"/>
      <c r="O134" s="559"/>
      <c r="P134" s="559"/>
      <c r="Q134" s="559"/>
      <c r="R134" s="559"/>
      <c r="S134" s="559"/>
      <c r="T134" s="559"/>
      <c r="U134" s="559"/>
      <c r="V134" s="559"/>
    </row>
    <row r="135" spans="1:22" ht="15">
      <c r="A135" s="559"/>
      <c r="B135" s="559"/>
      <c r="C135" s="559"/>
      <c r="D135" s="559"/>
      <c r="E135" s="559"/>
      <c r="F135" s="559"/>
      <c r="G135" s="559"/>
      <c r="H135" s="559"/>
      <c r="I135" s="559"/>
      <c r="J135" s="559"/>
      <c r="K135" s="559"/>
      <c r="L135" s="559"/>
      <c r="M135" s="559"/>
      <c r="N135" s="559"/>
      <c r="O135" s="559"/>
      <c r="P135" s="559"/>
      <c r="Q135" s="559"/>
      <c r="R135" s="559"/>
      <c r="S135" s="559"/>
      <c r="T135" s="559"/>
      <c r="U135" s="559"/>
      <c r="V135" s="559"/>
    </row>
    <row r="136" spans="1:22" ht="15">
      <c r="A136" s="559"/>
      <c r="B136" s="559"/>
      <c r="C136" s="559"/>
      <c r="D136" s="559"/>
      <c r="E136" s="559"/>
      <c r="F136" s="559"/>
      <c r="G136" s="559"/>
      <c r="H136" s="559"/>
      <c r="I136" s="559"/>
      <c r="J136" s="559"/>
      <c r="K136" s="559"/>
      <c r="L136" s="559"/>
      <c r="M136" s="559"/>
      <c r="N136" s="559"/>
      <c r="O136" s="559"/>
      <c r="P136" s="559"/>
      <c r="Q136" s="559"/>
      <c r="R136" s="559"/>
      <c r="S136" s="559"/>
      <c r="T136" s="559"/>
      <c r="U136" s="559"/>
      <c r="V136" s="559"/>
    </row>
    <row r="137" spans="1:22" ht="15">
      <c r="A137" s="559"/>
      <c r="B137" s="559"/>
      <c r="C137" s="559"/>
      <c r="D137" s="559"/>
      <c r="E137" s="559"/>
      <c r="F137" s="559"/>
      <c r="G137" s="559"/>
      <c r="H137" s="559"/>
      <c r="I137" s="559"/>
      <c r="J137" s="559"/>
      <c r="K137" s="559"/>
      <c r="L137" s="559"/>
      <c r="M137" s="559"/>
      <c r="N137" s="559"/>
      <c r="O137" s="559"/>
      <c r="P137" s="559"/>
      <c r="Q137" s="559"/>
      <c r="R137" s="559"/>
      <c r="S137" s="559"/>
      <c r="T137" s="559"/>
      <c r="U137" s="559"/>
      <c r="V137" s="559"/>
    </row>
    <row r="138" spans="1:22" ht="15">
      <c r="A138" s="559"/>
      <c r="B138" s="559"/>
      <c r="C138" s="559"/>
      <c r="D138" s="559"/>
      <c r="E138" s="559"/>
      <c r="F138" s="559"/>
      <c r="G138" s="559"/>
      <c r="H138" s="559"/>
      <c r="I138" s="559"/>
      <c r="J138" s="559"/>
      <c r="K138" s="559"/>
      <c r="L138" s="559"/>
      <c r="M138" s="559"/>
      <c r="N138" s="559"/>
      <c r="O138" s="559"/>
      <c r="P138" s="559"/>
      <c r="Q138" s="559"/>
      <c r="R138" s="559"/>
      <c r="S138" s="559"/>
      <c r="T138" s="559"/>
      <c r="U138" s="559"/>
      <c r="V138" s="559"/>
    </row>
    <row r="139" spans="1:22" ht="15">
      <c r="A139" s="559"/>
      <c r="B139" s="559"/>
      <c r="C139" s="559"/>
      <c r="D139" s="559"/>
      <c r="E139" s="559"/>
      <c r="F139" s="559"/>
      <c r="G139" s="559"/>
      <c r="H139" s="559"/>
      <c r="I139" s="559"/>
      <c r="J139" s="559"/>
      <c r="K139" s="559"/>
      <c r="L139" s="559"/>
      <c r="M139" s="559"/>
      <c r="N139" s="559"/>
      <c r="O139" s="559"/>
      <c r="P139" s="559"/>
      <c r="Q139" s="559"/>
      <c r="R139" s="559"/>
      <c r="S139" s="559"/>
      <c r="T139" s="559"/>
      <c r="U139" s="559"/>
      <c r="V139" s="559"/>
    </row>
    <row r="140" spans="1:22" ht="15">
      <c r="A140" s="559"/>
      <c r="B140" s="559"/>
      <c r="C140" s="559"/>
      <c r="D140" s="559"/>
      <c r="E140" s="559"/>
      <c r="F140" s="559"/>
      <c r="G140" s="559"/>
      <c r="H140" s="559"/>
      <c r="I140" s="559"/>
      <c r="J140" s="559"/>
      <c r="K140" s="559"/>
      <c r="L140" s="559"/>
      <c r="M140" s="559"/>
      <c r="N140" s="559"/>
      <c r="O140" s="559"/>
      <c r="P140" s="559"/>
      <c r="Q140" s="559"/>
      <c r="R140" s="559"/>
      <c r="S140" s="559"/>
      <c r="T140" s="559"/>
      <c r="U140" s="559"/>
      <c r="V140" s="559"/>
    </row>
    <row r="141" spans="1:22" ht="15">
      <c r="A141" s="559"/>
      <c r="B141" s="559"/>
      <c r="C141" s="559"/>
      <c r="D141" s="559"/>
      <c r="E141" s="559"/>
      <c r="F141" s="559"/>
      <c r="G141" s="559"/>
      <c r="H141" s="559"/>
      <c r="I141" s="559"/>
      <c r="J141" s="559"/>
      <c r="K141" s="559"/>
      <c r="L141" s="559"/>
      <c r="M141" s="559"/>
      <c r="N141" s="559"/>
      <c r="O141" s="559"/>
      <c r="P141" s="559"/>
      <c r="Q141" s="559"/>
      <c r="R141" s="559"/>
      <c r="S141" s="559"/>
      <c r="T141" s="559"/>
      <c r="U141" s="559"/>
      <c r="V141" s="559"/>
    </row>
    <row r="142" spans="1:22" ht="15">
      <c r="A142" s="559"/>
      <c r="B142" s="559"/>
      <c r="C142" s="559"/>
      <c r="D142" s="559"/>
      <c r="E142" s="559"/>
      <c r="F142" s="559"/>
      <c r="G142" s="559"/>
      <c r="H142" s="559"/>
      <c r="I142" s="559"/>
      <c r="J142" s="559"/>
      <c r="K142" s="559"/>
      <c r="L142" s="559"/>
      <c r="M142" s="559"/>
      <c r="N142" s="559"/>
      <c r="O142" s="559"/>
      <c r="P142" s="559"/>
      <c r="Q142" s="559"/>
      <c r="R142" s="559"/>
      <c r="S142" s="559"/>
      <c r="T142" s="559"/>
      <c r="U142" s="559"/>
      <c r="V142" s="559"/>
    </row>
  </sheetData>
  <sheetProtection/>
  <mergeCells count="8">
    <mergeCell ref="A1:K1"/>
    <mergeCell ref="A2:K2"/>
    <mergeCell ref="A3:K3"/>
    <mergeCell ref="A4:K4"/>
    <mergeCell ref="B23:G24"/>
    <mergeCell ref="B27:J29"/>
    <mergeCell ref="A6:K6"/>
    <mergeCell ref="B9:H9"/>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9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s632389</cp:lastModifiedBy>
  <cp:lastPrinted>2015-05-21T20:18:30Z</cp:lastPrinted>
  <dcterms:created xsi:type="dcterms:W3CDTF">2005-06-15T14:56:19Z</dcterms:created>
  <dcterms:modified xsi:type="dcterms:W3CDTF">2015-05-26T14:15:41Z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948954949</vt:i4>
  </property>
  <property fmtid="{D5CDD505-2E9C-101B-9397-08002B2CF9AE}" pid="3" name="_NewReviewCycle">
    <vt:lpwstr/>
  </property>
  <property fmtid="{D5CDD505-2E9C-101B-9397-08002B2CF9AE}" pid="4" name="_EmailSubject">
    <vt:lpwstr>ER10-355  AEPTCo West SPP Templates and Update East Template </vt:lpwstr>
  </property>
  <property fmtid="{D5CDD505-2E9C-101B-9397-08002B2CF9AE}" pid="5" name="_AuthorEmail">
    <vt:lpwstr>James.Keegan@ferc.gov</vt:lpwstr>
  </property>
  <property fmtid="{D5CDD505-2E9C-101B-9397-08002B2CF9AE}" pid="6" name="_AuthorEmailDisplayName">
    <vt:lpwstr>James Keegan</vt:lpwstr>
  </property>
  <property fmtid="{D5CDD505-2E9C-101B-9397-08002B2CF9AE}" pid="7" name="_PreviousAdHocReviewCycleID">
    <vt:i4>913729168</vt:i4>
  </property>
  <property fmtid="{D5CDD505-2E9C-101B-9397-08002B2CF9AE}" pid="8" name="_ReviewingToolsShownOnce">
    <vt:lpwstr/>
  </property>
</Properties>
</file>